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A" sheetId="4" r:id="rId1"/>
    <sheet name="B" sheetId="1" r:id="rId2"/>
    <sheet name="C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19" i="4"/>
  <c r="AD8"/>
  <c r="AD11" s="1"/>
  <c r="AC8"/>
  <c r="AC11" s="1"/>
  <c r="C8"/>
  <c r="C11" s="1"/>
  <c r="R3"/>
  <c r="C9" l="1"/>
  <c r="C12" s="1"/>
  <c r="C14" s="1"/>
  <c r="AC9"/>
  <c r="AC12" s="1"/>
  <c r="AC14" s="1"/>
  <c r="AC15" s="1"/>
  <c r="S18"/>
  <c r="R8"/>
  <c r="E38" l="1"/>
  <c r="E19"/>
  <c r="C15"/>
  <c r="N38"/>
  <c r="R9"/>
  <c r="R12" s="1"/>
  <c r="S15" s="1"/>
  <c r="R11"/>
  <c r="R14" l="1"/>
  <c r="R15" s="1"/>
  <c r="R18" s="1"/>
  <c r="G27" i="3"/>
  <c r="F27"/>
  <c r="B28" l="1"/>
  <c r="B9" l="1"/>
  <c r="B31" l="1"/>
  <c r="B33" s="1"/>
  <c r="D22"/>
  <c r="B22"/>
  <c r="D21"/>
  <c r="B21"/>
  <c r="D20"/>
  <c r="G28" s="1"/>
  <c r="B20"/>
  <c r="F28" s="1"/>
  <c r="B10"/>
  <c r="B12"/>
  <c r="D24" l="1"/>
  <c r="B24"/>
  <c r="B16"/>
  <c r="B13"/>
  <c r="B23" s="1"/>
  <c r="D23"/>
  <c r="B15" l="1"/>
  <c r="D42" i="1" l="1"/>
  <c r="F42"/>
  <c r="E42"/>
  <c r="D23"/>
  <c r="F23"/>
  <c r="E23"/>
  <c r="C13" l="1"/>
  <c r="C14" s="1"/>
  <c r="F17" l="1"/>
  <c r="C17"/>
  <c r="F16"/>
  <c r="C16" s="1"/>
  <c r="C21" l="1"/>
  <c r="C19" l="1"/>
  <c r="E43" s="1"/>
  <c r="C20" l="1"/>
  <c r="E24"/>
  <c r="F24" l="1"/>
  <c r="F43"/>
</calcChain>
</file>

<file path=xl/sharedStrings.xml><?xml version="1.0" encoding="utf-8"?>
<sst xmlns="http://schemas.openxmlformats.org/spreadsheetml/2006/main" count="103" uniqueCount="58">
  <si>
    <t>S</t>
  </si>
  <si>
    <t>X</t>
  </si>
  <si>
    <t>sigma</t>
  </si>
  <si>
    <t>rendimiento</t>
  </si>
  <si>
    <t>tiempo</t>
  </si>
  <si>
    <t>año</t>
  </si>
  <si>
    <t>sa</t>
  </si>
  <si>
    <t>dist normal media</t>
  </si>
  <si>
    <t>d1</t>
  </si>
  <si>
    <t>d2</t>
  </si>
  <si>
    <t>N(d1)</t>
  </si>
  <si>
    <t>N(d2)</t>
  </si>
  <si>
    <t>Call</t>
  </si>
  <si>
    <t>Put</t>
  </si>
  <si>
    <t>N(-d1)</t>
  </si>
  <si>
    <t>N(-d2)</t>
  </si>
  <si>
    <t>T</t>
  </si>
  <si>
    <t>Black-Scholes Greeks
This spreadsheet uses the Merton model for a continuously dividend-paying stock</t>
  </si>
  <si>
    <t>Current stock price</t>
  </si>
  <si>
    <t>Exercise price</t>
  </si>
  <si>
    <t>Time to maturity of option (in years)</t>
  </si>
  <si>
    <t>r</t>
  </si>
  <si>
    <t>Risk-free rate of interest</t>
  </si>
  <si>
    <t>k</t>
  </si>
  <si>
    <t>Dividend yield</t>
  </si>
  <si>
    <t>Sigma</t>
  </si>
  <si>
    <t>Stock volatility</t>
  </si>
  <si>
    <r>
      <t>d</t>
    </r>
    <r>
      <rPr>
        <vertAlign val="subscript"/>
        <sz val="10"/>
        <rFont val="Arial"/>
        <family val="2"/>
      </rPr>
      <t>1</t>
    </r>
  </si>
  <si>
    <r>
      <t>d</t>
    </r>
    <r>
      <rPr>
        <vertAlign val="subscript"/>
        <sz val="10"/>
        <rFont val="Arial"/>
        <family val="2"/>
      </rPr>
      <t>2</t>
    </r>
  </si>
  <si>
    <r>
      <t>&lt;-- d</t>
    </r>
    <r>
      <rPr>
        <vertAlign val="sub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-sigma*SQRT(T)</t>
    </r>
  </si>
  <si>
    <r>
      <t>N(d</t>
    </r>
    <r>
      <rPr>
        <vertAlign val="sub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)</t>
    </r>
  </si>
  <si>
    <r>
      <t>&lt;-- Uses formula NormSDist(d</t>
    </r>
    <r>
      <rPr>
        <vertAlign val="sub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)</t>
    </r>
  </si>
  <si>
    <r>
      <t>N(d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</si>
  <si>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&lt;-- Uses formula NormSDist(d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</si>
  <si>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Call price</t>
  </si>
  <si>
    <t>Put price</t>
  </si>
  <si>
    <t>Greeks:  Brute force</t>
  </si>
  <si>
    <t>Delta</t>
  </si>
  <si>
    <t>Gamma</t>
  </si>
  <si>
    <t>Vega</t>
  </si>
  <si>
    <t>Theta</t>
  </si>
  <si>
    <t>Rho</t>
  </si>
  <si>
    <t>Gamma numerador</t>
  </si>
  <si>
    <t>Gamma denominador</t>
  </si>
  <si>
    <t>X VP</t>
  </si>
  <si>
    <t>Time to maturity of option (in months)</t>
  </si>
  <si>
    <r>
      <t xml:space="preserve">Stock volatility, </t>
    </r>
    <r>
      <rPr>
        <sz val="10"/>
        <rFont val="Symbol"/>
        <family val="1"/>
        <charset val="2"/>
      </rPr>
      <t>s</t>
    </r>
  </si>
  <si>
    <t>D1</t>
  </si>
  <si>
    <t>D2</t>
  </si>
  <si>
    <t>N1</t>
  </si>
  <si>
    <t>N2</t>
  </si>
  <si>
    <t>Call options</t>
  </si>
  <si>
    <t>Putcallparitytheorem</t>
  </si>
  <si>
    <t>put</t>
  </si>
  <si>
    <t>put options</t>
  </si>
  <si>
    <t>Intrinseco</t>
  </si>
  <si>
    <t>MAX(S-X)</t>
  </si>
  <si>
    <t>CALL</t>
  </si>
</sst>
</file>

<file path=xl/styles.xml><?xml version="1.0" encoding="utf-8"?>
<styleSheet xmlns="http://schemas.openxmlformats.org/spreadsheetml/2006/main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.000000_);_(* \(#,##0.000000\);_(* &quot;-&quot;??_);_(@_)"/>
    <numFmt numFmtId="165" formatCode="_(* #,##0.000000_);_(* \(#,##0.000000\);_(* &quot;-&quot;??????_);_(@_)"/>
    <numFmt numFmtId="166" formatCode="0.0000"/>
    <numFmt numFmtId="167" formatCode="_(* #,##0.0000_);_(* \(#,##0.0000\);_(* &quot;-&quot;??_);_(@_)"/>
    <numFmt numFmtId="168" formatCode="_(* #,##0.00000_);_(* \(#,##0.000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vertAlign val="subscript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9" fontId="0" fillId="0" borderId="0" xfId="0" applyNumberFormat="1"/>
    <xf numFmtId="43" fontId="0" fillId="0" borderId="0" xfId="1" applyFont="1"/>
    <xf numFmtId="43" fontId="0" fillId="0" borderId="0" xfId="1" applyNumberFormat="1" applyFont="1"/>
    <xf numFmtId="165" fontId="0" fillId="0" borderId="0" xfId="0" applyNumberFormat="1"/>
    <xf numFmtId="164" fontId="0" fillId="0" borderId="1" xfId="1" applyNumberFormat="1" applyFon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44" fontId="0" fillId="0" borderId="0" xfId="2" applyFont="1"/>
    <xf numFmtId="9" fontId="0" fillId="0" borderId="0" xfId="3" applyFont="1"/>
    <xf numFmtId="0" fontId="0" fillId="0" borderId="0" xfId="3" applyNumberFormat="1" applyFont="1"/>
    <xf numFmtId="9" fontId="0" fillId="0" borderId="0" xfId="3" quotePrefix="1" applyFont="1"/>
    <xf numFmtId="10" fontId="0" fillId="0" borderId="0" xfId="3" applyNumberFormat="1" applyFont="1"/>
    <xf numFmtId="166" fontId="0" fillId="0" borderId="0" xfId="3" quotePrefix="1" applyNumberFormat="1" applyFont="1"/>
    <xf numFmtId="166" fontId="0" fillId="0" borderId="0" xfId="3" applyNumberFormat="1" applyFont="1"/>
    <xf numFmtId="167" fontId="0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9" fontId="5" fillId="0" borderId="0" xfId="3" applyFont="1" applyAlignment="1">
      <alignment horizontal="center"/>
    </xf>
    <xf numFmtId="166" fontId="0" fillId="0" borderId="0" xfId="0" applyNumberFormat="1" applyFill="1"/>
    <xf numFmtId="0" fontId="0" fillId="0" borderId="0" xfId="0" applyAlignment="1">
      <alignment horizontal="left"/>
    </xf>
    <xf numFmtId="166" fontId="0" fillId="0" borderId="0" xfId="0" applyNumberFormat="1" applyFill="1" applyAlignment="1">
      <alignment horizontal="right"/>
    </xf>
    <xf numFmtId="0" fontId="0" fillId="0" borderId="0" xfId="0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0" fillId="0" borderId="0" xfId="3" applyNumberFormat="1" applyFont="1"/>
    <xf numFmtId="9" fontId="0" fillId="0" borderId="0" xfId="3" applyFont="1" applyAlignment="1">
      <alignment horizontal="right"/>
    </xf>
    <xf numFmtId="0" fontId="0" fillId="0" borderId="0" xfId="0" applyAlignment="1">
      <alignment horizontal="right"/>
    </xf>
    <xf numFmtId="168" fontId="0" fillId="0" borderId="0" xfId="1" applyNumberFormat="1" applyFont="1"/>
    <xf numFmtId="2" fontId="0" fillId="0" borderId="0" xfId="0" applyNumberFormat="1"/>
    <xf numFmtId="10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'[1]Punto 1'!$E$18:$E$19</c:f>
              <c:strCache>
                <c:ptCount val="1"/>
                <c:pt idx="0">
                  <c:v>Call price 8,643433707</c:v>
                </c:pt>
              </c:strCache>
            </c:strRef>
          </c:tx>
          <c:cat>
            <c:numRef>
              <c:f>'[1]Punto 1'!$D$20:$D$35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</c:numCache>
            </c:numRef>
          </c:cat>
          <c:val>
            <c:numRef>
              <c:f>'[1]Punto 1'!$E$20:$E$35</c:f>
              <c:numCache>
                <c:formatCode>General</c:formatCode>
                <c:ptCount val="16"/>
                <c:pt idx="0">
                  <c:v>1.627110379526155E-17</c:v>
                </c:pt>
                <c:pt idx="1">
                  <c:v>6.2724512245752876E-9</c:v>
                </c:pt>
                <c:pt idx="2">
                  <c:v>2.8392918078762124E-5</c:v>
                </c:pt>
                <c:pt idx="3">
                  <c:v>2.8537602395109773E-3</c:v>
                </c:pt>
                <c:pt idx="4">
                  <c:v>4.8405224028066296E-2</c:v>
                </c:pt>
                <c:pt idx="5">
                  <c:v>0.31005154938344992</c:v>
                </c:pt>
                <c:pt idx="6">
                  <c:v>1.1076855598914603</c:v>
                </c:pt>
                <c:pt idx="7">
                  <c:v>2.7318630834502855</c:v>
                </c:pt>
                <c:pt idx="8">
                  <c:v>5.2776725210471547</c:v>
                </c:pt>
                <c:pt idx="9">
                  <c:v>8.6434337071156691</c:v>
                </c:pt>
                <c:pt idx="10">
                  <c:v>12.630730980450593</c:v>
                </c:pt>
                <c:pt idx="11">
                  <c:v>17.037833435617173</c:v>
                </c:pt>
                <c:pt idx="12">
                  <c:v>21.705621303373086</c:v>
                </c:pt>
                <c:pt idx="13">
                  <c:v>26.525589687810623</c:v>
                </c:pt>
                <c:pt idx="14">
                  <c:v>31.430439448391112</c:v>
                </c:pt>
                <c:pt idx="15">
                  <c:v>36.381069196126973</c:v>
                </c:pt>
              </c:numCache>
            </c:numRef>
          </c:val>
        </c:ser>
        <c:ser>
          <c:idx val="1"/>
          <c:order val="1"/>
          <c:tx>
            <c:strRef>
              <c:f>'[1]Punto 1'!$F$18:$F$19</c:f>
              <c:strCache>
                <c:ptCount val="1"/>
                <c:pt idx="0">
                  <c:v>MAX(S-X) 5</c:v>
                </c:pt>
              </c:strCache>
            </c:strRef>
          </c:tx>
          <c:cat>
            <c:numRef>
              <c:f>'[1]Punto 1'!$D$20:$D$35</c:f>
              <c:numCache>
                <c:formatCode>General</c:formatCode>
                <c:ptCount val="1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</c:numCache>
            </c:numRef>
          </c:cat>
          <c:val>
            <c:numRef>
              <c:f>'[1]Punto 1'!$F$20:$F$35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</c:numCache>
            </c:numRef>
          </c:val>
        </c:ser>
        <c:marker val="1"/>
        <c:axId val="167078912"/>
        <c:axId val="167084800"/>
      </c:lineChart>
      <c:catAx>
        <c:axId val="167078912"/>
        <c:scaling>
          <c:orientation val="minMax"/>
        </c:scaling>
        <c:axPos val="b"/>
        <c:numFmt formatCode="General" sourceLinked="1"/>
        <c:tickLblPos val="nextTo"/>
        <c:crossAx val="167084800"/>
        <c:crosses val="autoZero"/>
        <c:auto val="1"/>
        <c:lblAlgn val="ctr"/>
        <c:lblOffset val="100"/>
      </c:catAx>
      <c:valAx>
        <c:axId val="167084800"/>
        <c:scaling>
          <c:orientation val="minMax"/>
        </c:scaling>
        <c:axPos val="l"/>
        <c:majorGridlines/>
        <c:numFmt formatCode="General" sourceLinked="1"/>
        <c:tickLblPos val="nextTo"/>
        <c:crossAx val="167078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'[1]Punto 1'!$E$38</c:f>
              <c:strCache>
                <c:ptCount val="1"/>
                <c:pt idx="0">
                  <c:v>8,643433707</c:v>
                </c:pt>
              </c:strCache>
            </c:strRef>
          </c:tx>
          <c:marker>
            <c:symbol val="none"/>
          </c:marker>
          <c:cat>
            <c:numRef>
              <c:f>'[1]Punto 1'!$D$39:$D$60</c:f>
              <c:numCache>
                <c:formatCode>0.00%</c:formatCode>
                <c:ptCount val="22"/>
                <c:pt idx="0" formatCode="0%">
                  <c:v>0.01</c:v>
                </c:pt>
                <c:pt idx="1">
                  <c:v>1.2E-2</c:v>
                </c:pt>
                <c:pt idx="2" formatCode="0%">
                  <c:v>1.4E-2</c:v>
                </c:pt>
                <c:pt idx="3">
                  <c:v>1.6E-2</c:v>
                </c:pt>
                <c:pt idx="4" formatCode="0%">
                  <c:v>1.7999999999999999E-2</c:v>
                </c:pt>
                <c:pt idx="5">
                  <c:v>0.02</c:v>
                </c:pt>
                <c:pt idx="6" formatCode="0%">
                  <c:v>2.1999999999999999E-2</c:v>
                </c:pt>
                <c:pt idx="7">
                  <c:v>2.4E-2</c:v>
                </c:pt>
                <c:pt idx="8" formatCode="0%">
                  <c:v>2.5999999999999999E-2</c:v>
                </c:pt>
                <c:pt idx="9">
                  <c:v>2.8000000000000001E-2</c:v>
                </c:pt>
                <c:pt idx="10" formatCode="0%">
                  <c:v>0.03</c:v>
                </c:pt>
                <c:pt idx="11">
                  <c:v>3.2000000000000001E-2</c:v>
                </c:pt>
                <c:pt idx="12" formatCode="0%">
                  <c:v>3.4000000000000002E-2</c:v>
                </c:pt>
                <c:pt idx="13">
                  <c:v>3.5999999999999997E-2</c:v>
                </c:pt>
                <c:pt idx="14" formatCode="0%">
                  <c:v>3.7999999999999999E-2</c:v>
                </c:pt>
                <c:pt idx="15">
                  <c:v>0.04</c:v>
                </c:pt>
                <c:pt idx="16" formatCode="0%">
                  <c:v>4.2000000000000003E-2</c:v>
                </c:pt>
                <c:pt idx="17">
                  <c:v>4.3999999999999997E-2</c:v>
                </c:pt>
                <c:pt idx="18" formatCode="0%">
                  <c:v>4.5999999999999999E-2</c:v>
                </c:pt>
                <c:pt idx="19">
                  <c:v>4.8000000000000001E-2</c:v>
                </c:pt>
                <c:pt idx="20" formatCode="0%">
                  <c:v>0.05</c:v>
                </c:pt>
                <c:pt idx="21">
                  <c:v>5.1999999999999998E-2</c:v>
                </c:pt>
              </c:numCache>
            </c:numRef>
          </c:cat>
          <c:val>
            <c:numRef>
              <c:f>'[1]Punto 1'!$E$39:$E$60</c:f>
              <c:numCache>
                <c:formatCode>General</c:formatCode>
                <c:ptCount val="22"/>
                <c:pt idx="0">
                  <c:v>8.0115291318489703</c:v>
                </c:pt>
                <c:pt idx="1">
                  <c:v>8.0530837440691059</c:v>
                </c:pt>
                <c:pt idx="2">
                  <c:v>8.0947227993232467</c:v>
                </c:pt>
                <c:pt idx="3">
                  <c:v>8.1364456864671624</c:v>
                </c:pt>
                <c:pt idx="4">
                  <c:v>8.178251792014386</c:v>
                </c:pt>
                <c:pt idx="5">
                  <c:v>8.2201405001830317</c:v>
                </c:pt>
                <c:pt idx="6">
                  <c:v>8.2621111929428537</c:v>
                </c:pt>
                <c:pt idx="7">
                  <c:v>8.3041632500621674</c:v>
                </c:pt>
                <c:pt idx="8">
                  <c:v>8.3462960491550859</c:v>
                </c:pt>
                <c:pt idx="9">
                  <c:v>8.3885089657286898</c:v>
                </c:pt>
                <c:pt idx="10">
                  <c:v>8.4308013732303912</c:v>
                </c:pt>
                <c:pt idx="11">
                  <c:v>8.473172643095257</c:v>
                </c:pt>
                <c:pt idx="12">
                  <c:v>8.515622144793511</c:v>
                </c:pt>
                <c:pt idx="13">
                  <c:v>8.558149245877992</c:v>
                </c:pt>
                <c:pt idx="14">
                  <c:v>8.6007533120317667</c:v>
                </c:pt>
                <c:pt idx="15">
                  <c:v>8.6434337071156691</c:v>
                </c:pt>
                <c:pt idx="16">
                  <c:v>8.6861897932160232</c:v>
                </c:pt>
                <c:pt idx="17">
                  <c:v>8.7290209306922719</c:v>
                </c:pt>
                <c:pt idx="18">
                  <c:v>8.7719264782247279</c:v>
                </c:pt>
                <c:pt idx="19">
                  <c:v>8.8149057928622163</c:v>
                </c:pt>
                <c:pt idx="20">
                  <c:v>8.857958230069972</c:v>
                </c:pt>
                <c:pt idx="21">
                  <c:v>8.9010831437772246</c:v>
                </c:pt>
              </c:numCache>
            </c:numRef>
          </c:val>
        </c:ser>
        <c:marker val="1"/>
        <c:axId val="167101184"/>
        <c:axId val="167102720"/>
      </c:lineChart>
      <c:catAx>
        <c:axId val="167101184"/>
        <c:scaling>
          <c:orientation val="minMax"/>
        </c:scaling>
        <c:axPos val="b"/>
        <c:numFmt formatCode="0%" sourceLinked="1"/>
        <c:tickLblPos val="nextTo"/>
        <c:crossAx val="167102720"/>
        <c:crosses val="autoZero"/>
        <c:auto val="1"/>
        <c:lblAlgn val="ctr"/>
        <c:lblOffset val="100"/>
      </c:catAx>
      <c:valAx>
        <c:axId val="167102720"/>
        <c:scaling>
          <c:orientation val="minMax"/>
        </c:scaling>
        <c:axPos val="l"/>
        <c:majorGridlines/>
        <c:numFmt formatCode="General" sourceLinked="1"/>
        <c:tickLblPos val="nextTo"/>
        <c:crossAx val="167101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'[1]Punto 1'!$N$38</c:f>
              <c:strCache>
                <c:ptCount val="1"/>
                <c:pt idx="0">
                  <c:v>8,643433707</c:v>
                </c:pt>
              </c:strCache>
            </c:strRef>
          </c:tx>
          <c:marker>
            <c:symbol val="none"/>
          </c:marker>
          <c:cat>
            <c:numRef>
              <c:f>'[1]Punto 1'!$M$39:$M$50</c:f>
              <c:numCache>
                <c:formatCode>0%</c:formatCode>
                <c:ptCount val="12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</c:numCache>
            </c:numRef>
          </c:cat>
          <c:val>
            <c:numRef>
              <c:f>'[1]Punto 1'!$N$39:$N$50</c:f>
              <c:numCache>
                <c:formatCode>General</c:formatCode>
                <c:ptCount val="12"/>
                <c:pt idx="0">
                  <c:v>6.3304428770313521</c:v>
                </c:pt>
                <c:pt idx="1">
                  <c:v>6.4324516904532061</c:v>
                </c:pt>
                <c:pt idx="2">
                  <c:v>6.7958785305451457</c:v>
                </c:pt>
                <c:pt idx="3">
                  <c:v>7.3327636132126841</c:v>
                </c:pt>
                <c:pt idx="4">
                  <c:v>7.9623091583123298</c:v>
                </c:pt>
                <c:pt idx="5">
                  <c:v>8.6434337071156691</c:v>
                </c:pt>
                <c:pt idx="6">
                  <c:v>9.3549342262771304</c:v>
                </c:pt>
                <c:pt idx="7">
                  <c:v>10.085010895504293</c:v>
                </c:pt>
                <c:pt idx="8">
                  <c:v>10.826587213661234</c:v>
                </c:pt>
                <c:pt idx="9">
                  <c:v>11.575129392711439</c:v>
                </c:pt>
                <c:pt idx="10">
                  <c:v>12.327560341570614</c:v>
                </c:pt>
                <c:pt idx="11">
                  <c:v>13.081683366987708</c:v>
                </c:pt>
              </c:numCache>
            </c:numRef>
          </c:val>
        </c:ser>
        <c:marker val="1"/>
        <c:axId val="169120896"/>
        <c:axId val="169122432"/>
      </c:lineChart>
      <c:catAx>
        <c:axId val="169120896"/>
        <c:scaling>
          <c:orientation val="minMax"/>
        </c:scaling>
        <c:axPos val="b"/>
        <c:numFmt formatCode="0%" sourceLinked="1"/>
        <c:tickLblPos val="nextTo"/>
        <c:crossAx val="169122432"/>
        <c:crosses val="autoZero"/>
        <c:auto val="1"/>
        <c:lblAlgn val="ctr"/>
        <c:lblOffset val="100"/>
      </c:catAx>
      <c:valAx>
        <c:axId val="169122432"/>
        <c:scaling>
          <c:orientation val="minMax"/>
        </c:scaling>
        <c:axPos val="l"/>
        <c:majorGridlines/>
        <c:numFmt formatCode="General" sourceLinked="1"/>
        <c:tickLblPos val="nextTo"/>
        <c:crossAx val="169120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'[1]Punto 1'!$R$18</c:f>
              <c:strCache>
                <c:ptCount val="1"/>
                <c:pt idx="0">
                  <c:v>1,35</c:v>
                </c:pt>
              </c:strCache>
            </c:strRef>
          </c:tx>
          <c:cat>
            <c:numRef>
              <c:f>'[1]Punto 1'!$Q$19:$Q$27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</c:numCache>
            </c:numRef>
          </c:cat>
          <c:val>
            <c:numRef>
              <c:f>'[1]Punto 1'!$R$19:$R$27</c:f>
              <c:numCache>
                <c:formatCode>General</c:formatCode>
                <c:ptCount val="9"/>
                <c:pt idx="0">
                  <c:v>9.8512051879157756</c:v>
                </c:pt>
                <c:pt idx="1">
                  <c:v>7.8512051879157756</c:v>
                </c:pt>
                <c:pt idx="2">
                  <c:v>5.8512051879423206</c:v>
                </c:pt>
                <c:pt idx="3">
                  <c:v>3.8512300235424721</c:v>
                </c:pt>
                <c:pt idx="4">
                  <c:v>1.8752230079122381</c:v>
                </c:pt>
                <c:pt idx="5">
                  <c:v>0.41579979059138594</c:v>
                </c:pt>
                <c:pt idx="6">
                  <c:v>2.7136658940376535E-2</c:v>
                </c:pt>
                <c:pt idx="7">
                  <c:v>5.4483983528896829E-4</c:v>
                </c:pt>
                <c:pt idx="8">
                  <c:v>4.3167627161722066E-6</c:v>
                </c:pt>
              </c:numCache>
            </c:numRef>
          </c:val>
        </c:ser>
        <c:ser>
          <c:idx val="1"/>
          <c:order val="1"/>
          <c:tx>
            <c:strRef>
              <c:f>'[1]Punto 1'!$S$18</c:f>
              <c:strCache>
                <c:ptCount val="1"/>
                <c:pt idx="0">
                  <c:v>1,34</c:v>
                </c:pt>
              </c:strCache>
            </c:strRef>
          </c:tx>
          <c:cat>
            <c:numRef>
              <c:f>'[1]Punto 1'!$Q$19:$Q$27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</c:numCache>
            </c:numRef>
          </c:cat>
          <c:val>
            <c:numRef>
              <c:f>'[1]Punto 1'!$S$19:$S$27</c:f>
              <c:numCache>
                <c:formatCode>General</c:formatCode>
                <c:ptCount val="9"/>
                <c:pt idx="0">
                  <c:v>9.9262040105044598</c:v>
                </c:pt>
                <c:pt idx="1">
                  <c:v>7.9262040105044598</c:v>
                </c:pt>
                <c:pt idx="2">
                  <c:v>5.9262040105044598</c:v>
                </c:pt>
                <c:pt idx="3">
                  <c:v>3.9262040105044598</c:v>
                </c:pt>
                <c:pt idx="4">
                  <c:v>1.9262040105044598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marker val="1"/>
        <c:axId val="169143296"/>
        <c:axId val="169345792"/>
      </c:lineChart>
      <c:catAx>
        <c:axId val="169143296"/>
        <c:scaling>
          <c:orientation val="minMax"/>
        </c:scaling>
        <c:axPos val="b"/>
        <c:numFmt formatCode="General" sourceLinked="1"/>
        <c:tickLblPos val="nextTo"/>
        <c:crossAx val="169345792"/>
        <c:crosses val="autoZero"/>
        <c:auto val="1"/>
        <c:lblAlgn val="ctr"/>
        <c:lblOffset val="100"/>
      </c:catAx>
      <c:valAx>
        <c:axId val="169345792"/>
        <c:scaling>
          <c:orientation val="minMax"/>
        </c:scaling>
        <c:axPos val="l"/>
        <c:majorGridlines/>
        <c:numFmt formatCode="General" sourceLinked="1"/>
        <c:tickLblPos val="nextTo"/>
        <c:crossAx val="169143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1"/>
          <c:order val="0"/>
          <c:tx>
            <c:strRef>
              <c:f>B!$E$23</c:f>
              <c:strCache>
                <c:ptCount val="1"/>
                <c:pt idx="0">
                  <c:v>Call</c:v>
                </c:pt>
              </c:strCache>
            </c:strRef>
          </c:tx>
          <c:cat>
            <c:numRef>
              <c:f>B!$D$25:$D$40</c:f>
              <c:numCache>
                <c:formatCode>0%</c:formatCode>
                <c:ptCount val="16"/>
                <c:pt idx="0">
                  <c:v>0.15</c:v>
                </c:pt>
                <c:pt idx="1">
                  <c:v>0.25</c:v>
                </c:pt>
                <c:pt idx="2">
                  <c:v>0.4</c:v>
                </c:pt>
                <c:pt idx="3">
                  <c:v>0.8</c:v>
                </c:pt>
                <c:pt idx="4">
                  <c:v>1.2</c:v>
                </c:pt>
                <c:pt idx="5">
                  <c:v>2</c:v>
                </c:pt>
                <c:pt idx="6">
                  <c:v>2.5333333333333301</c:v>
                </c:pt>
                <c:pt idx="7">
                  <c:v>3.1333333333333302</c:v>
                </c:pt>
                <c:pt idx="8">
                  <c:v>3.7333333333333298</c:v>
                </c:pt>
                <c:pt idx="9">
                  <c:v>4.3333333333333304</c:v>
                </c:pt>
                <c:pt idx="10">
                  <c:v>4.93333333333333</c:v>
                </c:pt>
                <c:pt idx="11">
                  <c:v>5.5333333333333297</c:v>
                </c:pt>
                <c:pt idx="12">
                  <c:v>6.1333333333333302</c:v>
                </c:pt>
                <c:pt idx="13">
                  <c:v>6.7333333333333298</c:v>
                </c:pt>
                <c:pt idx="14">
                  <c:v>7.3333333333333304</c:v>
                </c:pt>
                <c:pt idx="15">
                  <c:v>7.93333333333333</c:v>
                </c:pt>
              </c:numCache>
            </c:numRef>
          </c:cat>
          <c:val>
            <c:numRef>
              <c:f>B!$E$24:$E$40</c:f>
              <c:numCache>
                <c:formatCode>General</c:formatCode>
                <c:ptCount val="17"/>
                <c:pt idx="0" formatCode="_(* #,##0.000000_);_(* \(#,##0.000000\);_(* &quot;-&quot;??????_);_(@_)">
                  <c:v>0.73327636132126894</c:v>
                </c:pt>
                <c:pt idx="1">
                  <c:v>0.67958785305451519</c:v>
                </c:pt>
                <c:pt idx="2">
                  <c:v>0.79623091583123351</c:v>
                </c:pt>
                <c:pt idx="3">
                  <c:v>1.0085010895504301</c:v>
                </c:pt>
                <c:pt idx="4">
                  <c:v>1.6087151446158336</c:v>
                </c:pt>
                <c:pt idx="5">
                  <c:v>2.1886375559777536</c:v>
                </c:pt>
                <c:pt idx="6">
                  <c:v>3.1967134907105414</c:v>
                </c:pt>
                <c:pt idx="7">
                  <c:v>3.7272780201408602</c:v>
                </c:pt>
                <c:pt idx="8">
                  <c:v>4.1835816468550648</c:v>
                </c:pt>
                <c:pt idx="9">
                  <c:v>4.5051251577153373</c:v>
                </c:pt>
                <c:pt idx="10">
                  <c:v>4.7169533566731383</c:v>
                </c:pt>
                <c:pt idx="11">
                  <c:v>4.8474289952001239</c:v>
                </c:pt>
                <c:pt idx="12">
                  <c:v>4.9225733377992595</c:v>
                </c:pt>
                <c:pt idx="13">
                  <c:v>4.9630396863064963</c:v>
                </c:pt>
                <c:pt idx="14">
                  <c:v>4.9834160948882698</c:v>
                </c:pt>
                <c:pt idx="15">
                  <c:v>4.9930100965024007</c:v>
                </c:pt>
                <c:pt idx="16">
                  <c:v>4.9972339782305957</c:v>
                </c:pt>
              </c:numCache>
            </c:numRef>
          </c:val>
        </c:ser>
        <c:ser>
          <c:idx val="2"/>
          <c:order val="1"/>
          <c:tx>
            <c:strRef>
              <c:f>B!$F$23</c:f>
              <c:strCache>
                <c:ptCount val="1"/>
                <c:pt idx="0">
                  <c:v>Put</c:v>
                </c:pt>
              </c:strCache>
            </c:strRef>
          </c:tx>
          <c:cat>
            <c:numRef>
              <c:f>B!$D$25:$D$40</c:f>
              <c:numCache>
                <c:formatCode>0%</c:formatCode>
                <c:ptCount val="16"/>
                <c:pt idx="0">
                  <c:v>0.15</c:v>
                </c:pt>
                <c:pt idx="1">
                  <c:v>0.25</c:v>
                </c:pt>
                <c:pt idx="2">
                  <c:v>0.4</c:v>
                </c:pt>
                <c:pt idx="3">
                  <c:v>0.8</c:v>
                </c:pt>
                <c:pt idx="4">
                  <c:v>1.2</c:v>
                </c:pt>
                <c:pt idx="5">
                  <c:v>2</c:v>
                </c:pt>
                <c:pt idx="6">
                  <c:v>2.5333333333333301</c:v>
                </c:pt>
                <c:pt idx="7">
                  <c:v>3.1333333333333302</c:v>
                </c:pt>
                <c:pt idx="8">
                  <c:v>3.7333333333333298</c:v>
                </c:pt>
                <c:pt idx="9">
                  <c:v>4.3333333333333304</c:v>
                </c:pt>
                <c:pt idx="10">
                  <c:v>4.93333333333333</c:v>
                </c:pt>
                <c:pt idx="11">
                  <c:v>5.5333333333333297</c:v>
                </c:pt>
                <c:pt idx="12">
                  <c:v>6.1333333333333302</c:v>
                </c:pt>
                <c:pt idx="13">
                  <c:v>6.7333333333333298</c:v>
                </c:pt>
                <c:pt idx="14">
                  <c:v>7.3333333333333304</c:v>
                </c:pt>
                <c:pt idx="15">
                  <c:v>7.93333333333333</c:v>
                </c:pt>
              </c:numCache>
            </c:numRef>
          </c:cat>
          <c:val>
            <c:numRef>
              <c:f>B!$F$24:$F$40</c:f>
              <c:numCache>
                <c:formatCode>General</c:formatCode>
                <c:ptCount val="17"/>
                <c:pt idx="0" formatCode="_(* #,##0.000000_);_(* \(#,##0.000000\);_(* &quot;-&quot;??_);_(@_)">
                  <c:v>0.10028126228955525</c:v>
                </c:pt>
                <c:pt idx="1">
                  <c:v>4.6592754022801941E-2</c:v>
                </c:pt>
                <c:pt idx="2">
                  <c:v>0.16323581679951982</c:v>
                </c:pt>
                <c:pt idx="3">
                  <c:v>0.37550599051871636</c:v>
                </c:pt>
                <c:pt idx="4">
                  <c:v>0.97572004558411995</c:v>
                </c:pt>
                <c:pt idx="5">
                  <c:v>1.5556424569460399</c:v>
                </c:pt>
                <c:pt idx="6">
                  <c:v>2.5637183916788278</c:v>
                </c:pt>
                <c:pt idx="7">
                  <c:v>3.0942829211091465</c:v>
                </c:pt>
                <c:pt idx="8">
                  <c:v>3.5505865478233511</c:v>
                </c:pt>
                <c:pt idx="9">
                  <c:v>3.8721300586836236</c:v>
                </c:pt>
                <c:pt idx="10">
                  <c:v>4.0839582576414246</c:v>
                </c:pt>
                <c:pt idx="11">
                  <c:v>4.2144338961684102</c:v>
                </c:pt>
                <c:pt idx="12">
                  <c:v>4.2895782387675458</c:v>
                </c:pt>
                <c:pt idx="13">
                  <c:v>4.3300445872747826</c:v>
                </c:pt>
                <c:pt idx="14">
                  <c:v>4.3504209958565561</c:v>
                </c:pt>
                <c:pt idx="15">
                  <c:v>4.360014997470687</c:v>
                </c:pt>
                <c:pt idx="16">
                  <c:v>4.364238879198882</c:v>
                </c:pt>
              </c:numCache>
            </c:numRef>
          </c:val>
        </c:ser>
        <c:marker val="1"/>
        <c:axId val="152287104"/>
        <c:axId val="152288640"/>
      </c:lineChart>
      <c:catAx>
        <c:axId val="152287104"/>
        <c:scaling>
          <c:orientation val="minMax"/>
        </c:scaling>
        <c:axPos val="b"/>
        <c:numFmt formatCode="0%" sourceLinked="1"/>
        <c:tickLblPos val="nextTo"/>
        <c:crossAx val="152288640"/>
        <c:crosses val="autoZero"/>
        <c:auto val="1"/>
        <c:lblAlgn val="ctr"/>
        <c:lblOffset val="100"/>
      </c:catAx>
      <c:valAx>
        <c:axId val="152288640"/>
        <c:scaling>
          <c:orientation val="minMax"/>
        </c:scaling>
        <c:axPos val="l"/>
        <c:majorGridlines/>
        <c:numFmt formatCode="_(* #,##0.000000_);_(* \(#,##0.000000\);_(* &quot;-&quot;??????_);_(@_)" sourceLinked="1"/>
        <c:tickLblPos val="nextTo"/>
        <c:crossAx val="152287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1"/>
          <c:order val="0"/>
          <c:tx>
            <c:strRef>
              <c:f>B!$E$42</c:f>
              <c:strCache>
                <c:ptCount val="1"/>
                <c:pt idx="0">
                  <c:v>Call</c:v>
                </c:pt>
              </c:strCache>
            </c:strRef>
          </c:tx>
          <c:cat>
            <c:numRef>
              <c:f>B!$D$44:$D$55</c:f>
              <c:numCache>
                <c:formatCode>0%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</c:numCache>
            </c:numRef>
          </c:cat>
          <c:val>
            <c:numRef>
              <c:f>B!$E$43:$E$55</c:f>
              <c:numCache>
                <c:formatCode>General</c:formatCode>
                <c:ptCount val="13"/>
                <c:pt idx="0" formatCode="_(* #,##0.000000_);_(* \(#,##0.000000\);_(* &quot;-&quot;??????_);_(@_)">
                  <c:v>0.73327636132126894</c:v>
                </c:pt>
                <c:pt idx="1">
                  <c:v>0.66019749941426786</c:v>
                </c:pt>
                <c:pt idx="2">
                  <c:v>0.68426761675521153</c:v>
                </c:pt>
                <c:pt idx="3">
                  <c:v>0.70863338985808078</c:v>
                </c:pt>
                <c:pt idx="4">
                  <c:v>0.73327636132126894</c:v>
                </c:pt>
                <c:pt idx="5">
                  <c:v>0.75817793622139096</c:v>
                </c:pt>
                <c:pt idx="6">
                  <c:v>0.78331945382396784</c:v>
                </c:pt>
                <c:pt idx="7">
                  <c:v>0.8086822572813106</c:v>
                </c:pt>
                <c:pt idx="8">
                  <c:v>0.83424776088011932</c:v>
                </c:pt>
                <c:pt idx="9">
                  <c:v>0.85999751443976535</c:v>
                </c:pt>
                <c:pt idx="10">
                  <c:v>0.88591326450357233</c:v>
                </c:pt>
                <c:pt idx="11">
                  <c:v>0.91197701200911663</c:v>
                </c:pt>
                <c:pt idx="12">
                  <c:v>0.93817106616875723</c:v>
                </c:pt>
              </c:numCache>
            </c:numRef>
          </c:val>
        </c:ser>
        <c:ser>
          <c:idx val="2"/>
          <c:order val="1"/>
          <c:tx>
            <c:strRef>
              <c:f>B!$F$42</c:f>
              <c:strCache>
                <c:ptCount val="1"/>
                <c:pt idx="0">
                  <c:v>Put</c:v>
                </c:pt>
              </c:strCache>
            </c:strRef>
          </c:tx>
          <c:cat>
            <c:numRef>
              <c:f>B!$D$44:$D$55</c:f>
              <c:numCache>
                <c:formatCode>0%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</c:numCache>
            </c:numRef>
          </c:cat>
          <c:val>
            <c:numRef>
              <c:f>B!$F$43:$F$55</c:f>
              <c:numCache>
                <c:formatCode>General</c:formatCode>
                <c:ptCount val="13"/>
                <c:pt idx="0" formatCode="_(* #,##0.000000_);_(* \(#,##0.000000\);_(* &quot;-&quot;??_);_(@_)">
                  <c:v>0.10028126228955525</c:v>
                </c:pt>
                <c:pt idx="1">
                  <c:v>0.12657374610039085</c:v>
                </c:pt>
                <c:pt idx="2">
                  <c:v>0.1172713449689935</c:v>
                </c:pt>
                <c:pt idx="3">
                  <c:v>0.10851395722809443</c:v>
                </c:pt>
                <c:pt idx="4">
                  <c:v>0.10028126228955525</c:v>
                </c:pt>
                <c:pt idx="5">
                  <c:v>9.2552815965088797E-2</c:v>
                </c:pt>
                <c:pt idx="6">
                  <c:v>8.5308122072917492E-2</c:v>
                </c:pt>
                <c:pt idx="7">
                  <c:v>7.8526702032415407E-2</c:v>
                </c:pt>
                <c:pt idx="8">
                  <c:v>7.218816200923861E-2</c:v>
                </c:pt>
                <c:pt idx="9">
                  <c:v>6.6272257211888785E-2</c:v>
                </c:pt>
                <c:pt idx="10">
                  <c:v>6.0758952982060244E-2</c:v>
                </c:pt>
                <c:pt idx="11">
                  <c:v>5.5628482364737053E-2</c:v>
                </c:pt>
                <c:pt idx="12">
                  <c:v>5.0861399889283732E-2</c:v>
                </c:pt>
              </c:numCache>
            </c:numRef>
          </c:val>
        </c:ser>
        <c:marker val="1"/>
        <c:axId val="152178048"/>
        <c:axId val="152200320"/>
      </c:lineChart>
      <c:catAx>
        <c:axId val="152178048"/>
        <c:scaling>
          <c:orientation val="minMax"/>
        </c:scaling>
        <c:axPos val="b"/>
        <c:numFmt formatCode="0%" sourceLinked="1"/>
        <c:tickLblPos val="nextTo"/>
        <c:crossAx val="152200320"/>
        <c:crosses val="autoZero"/>
        <c:auto val="1"/>
        <c:lblAlgn val="ctr"/>
        <c:lblOffset val="100"/>
      </c:catAx>
      <c:valAx>
        <c:axId val="152200320"/>
        <c:scaling>
          <c:orientation val="minMax"/>
        </c:scaling>
        <c:axPos val="l"/>
        <c:majorGridlines/>
        <c:numFmt formatCode="_(* #,##0.000000_);_(* \(#,##0.000000\);_(* &quot;-&quot;??????_);_(@_)" sourceLinked="1"/>
        <c:tickLblPos val="nextTo"/>
        <c:crossAx val="152178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'C'!$F$27:$F$28</c:f>
              <c:strCache>
                <c:ptCount val="1"/>
                <c:pt idx="0">
                  <c:v>Call 0,7284</c:v>
                </c:pt>
              </c:strCache>
            </c:strRef>
          </c:tx>
          <c:cat>
            <c:numRef>
              <c:f>'C'!$E$29:$E$48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'C'!$F$29:$F$48</c:f>
              <c:numCache>
                <c:formatCode>General</c:formatCode>
                <c:ptCount val="20"/>
                <c:pt idx="0">
                  <c:v>2.0730246619892913E-18</c:v>
                </c:pt>
                <c:pt idx="1">
                  <c:v>2.1207163935355109E-9</c:v>
                </c:pt>
                <c:pt idx="2">
                  <c:v>1.1338670664260759E-5</c:v>
                </c:pt>
                <c:pt idx="3">
                  <c:v>1.0522281454829815E-3</c:v>
                </c:pt>
                <c:pt idx="4">
                  <c:v>1.4836861219953505E-2</c:v>
                </c:pt>
                <c:pt idx="5">
                  <c:v>7.5064465096004937E-2</c:v>
                </c:pt>
                <c:pt idx="6">
                  <c:v>0.2066326331659572</c:v>
                </c:pt>
                <c:pt idx="7">
                  <c:v>0.38914631073831168</c:v>
                </c:pt>
                <c:pt idx="8">
                  <c:v>0.5752589905073302</c:v>
                </c:pt>
                <c:pt idx="9">
                  <c:v>0.72842243812095198</c:v>
                </c:pt>
                <c:pt idx="10">
                  <c:v>0.83663124754370111</c:v>
                </c:pt>
                <c:pt idx="11">
                  <c:v>0.90508591072898692</c:v>
                </c:pt>
                <c:pt idx="12">
                  <c:v>0.94502549749001441</c:v>
                </c:pt>
                <c:pt idx="13">
                  <c:v>0.96697687739003735</c:v>
                </c:pt>
                <c:pt idx="14">
                  <c:v>0.97851947942080097</c:v>
                </c:pt>
                <c:pt idx="15">
                  <c:v>0.98439343870120377</c:v>
                </c:pt>
                <c:pt idx="16">
                  <c:v>0.98731164907318214</c:v>
                </c:pt>
                <c:pt idx="17">
                  <c:v>0.98873641018067449</c:v>
                </c:pt>
                <c:pt idx="18">
                  <c:v>0.98942352690320645</c:v>
                </c:pt>
                <c:pt idx="19">
                  <c:v>0.98975216086679418</c:v>
                </c:pt>
              </c:numCache>
            </c:numRef>
          </c:val>
        </c:ser>
        <c:ser>
          <c:idx val="1"/>
          <c:order val="1"/>
          <c:tx>
            <c:strRef>
              <c:f>'C'!$G$27:$G$28</c:f>
              <c:strCache>
                <c:ptCount val="1"/>
                <c:pt idx="0">
                  <c:v>Put -0,2616</c:v>
                </c:pt>
              </c:strCache>
            </c:strRef>
          </c:tx>
          <c:cat>
            <c:numRef>
              <c:f>'C'!$E$29:$E$48</c:f>
              <c:numCache>
                <c:formatCode>General</c:formatCode>
                <c:ptCount val="2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</c:numCache>
            </c:numRef>
          </c:cat>
          <c:val>
            <c:numRef>
              <c:f>'C'!$G$29:$G$48</c:f>
              <c:numCache>
                <c:formatCode>General</c:formatCode>
                <c:ptCount val="20"/>
                <c:pt idx="0">
                  <c:v>-0.99004983374916811</c:v>
                </c:pt>
                <c:pt idx="1">
                  <c:v>-0.99004983162845162</c:v>
                </c:pt>
                <c:pt idx="2">
                  <c:v>-0.99003849507850383</c:v>
                </c:pt>
                <c:pt idx="3">
                  <c:v>-0.9889976056036851</c:v>
                </c:pt>
                <c:pt idx="4">
                  <c:v>-0.97521297252921457</c:v>
                </c:pt>
                <c:pt idx="5">
                  <c:v>-0.91498536865316316</c:v>
                </c:pt>
                <c:pt idx="6">
                  <c:v>-0.78341720058321096</c:v>
                </c:pt>
                <c:pt idx="7">
                  <c:v>-0.60090352301085648</c:v>
                </c:pt>
                <c:pt idx="8">
                  <c:v>-0.41479084324183785</c:v>
                </c:pt>
                <c:pt idx="9">
                  <c:v>-0.26162739562821608</c:v>
                </c:pt>
                <c:pt idx="10">
                  <c:v>-0.15341858620546706</c:v>
                </c:pt>
                <c:pt idx="11">
                  <c:v>-8.4963923020181201E-2</c:v>
                </c:pt>
                <c:pt idx="12">
                  <c:v>-4.5024336259153662E-2</c:v>
                </c:pt>
                <c:pt idx="13">
                  <c:v>-2.3072956359130762E-2</c:v>
                </c:pt>
                <c:pt idx="14">
                  <c:v>-1.1530354328367139E-2</c:v>
                </c:pt>
                <c:pt idx="15">
                  <c:v>-5.6563950479643363E-3</c:v>
                </c:pt>
                <c:pt idx="16">
                  <c:v>-2.7381846759859693E-3</c:v>
                </c:pt>
                <c:pt idx="17">
                  <c:v>-1.3134235684936471E-3</c:v>
                </c:pt>
                <c:pt idx="18">
                  <c:v>-6.2630684596169271E-4</c:v>
                </c:pt>
                <c:pt idx="19">
                  <c:v>-2.9767288237393793E-4</c:v>
                </c:pt>
              </c:numCache>
            </c:numRef>
          </c:val>
        </c:ser>
        <c:marker val="1"/>
        <c:axId val="155130880"/>
        <c:axId val="155157248"/>
      </c:lineChart>
      <c:catAx>
        <c:axId val="155130880"/>
        <c:scaling>
          <c:orientation val="minMax"/>
        </c:scaling>
        <c:axPos val="b"/>
        <c:numFmt formatCode="General" sourceLinked="1"/>
        <c:tickLblPos val="nextTo"/>
        <c:crossAx val="155157248"/>
        <c:crosses val="autoZero"/>
        <c:auto val="1"/>
        <c:lblAlgn val="ctr"/>
        <c:lblOffset val="100"/>
      </c:catAx>
      <c:valAx>
        <c:axId val="155157248"/>
        <c:scaling>
          <c:orientation val="minMax"/>
        </c:scaling>
        <c:axPos val="l"/>
        <c:majorGridlines/>
        <c:numFmt formatCode="General" sourceLinked="1"/>
        <c:tickLblPos val="nextTo"/>
        <c:crossAx val="155130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16</xdr:row>
      <xdr:rowOff>180975</xdr:rowOff>
    </xdr:from>
    <xdr:to>
      <xdr:col>12</xdr:col>
      <xdr:colOff>476250</xdr:colOff>
      <xdr:row>31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38</xdr:row>
      <xdr:rowOff>161925</xdr:rowOff>
    </xdr:from>
    <xdr:to>
      <xdr:col>11</xdr:col>
      <xdr:colOff>190500</xdr:colOff>
      <xdr:row>53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609600</xdr:colOff>
      <xdr:row>36</xdr:row>
      <xdr:rowOff>123825</xdr:rowOff>
    </xdr:from>
    <xdr:to>
      <xdr:col>20</xdr:col>
      <xdr:colOff>609600</xdr:colOff>
      <xdr:row>51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752475</xdr:colOff>
      <xdr:row>12</xdr:row>
      <xdr:rowOff>47625</xdr:rowOff>
    </xdr:from>
    <xdr:to>
      <xdr:col>25</xdr:col>
      <xdr:colOff>752475</xdr:colOff>
      <xdr:row>26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24</xdr:row>
      <xdr:rowOff>28575</xdr:rowOff>
    </xdr:from>
    <xdr:to>
      <xdr:col>12</xdr:col>
      <xdr:colOff>19050</xdr:colOff>
      <xdr:row>38</xdr:row>
      <xdr:rowOff>114300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695325</xdr:colOff>
      <xdr:row>41</xdr:row>
      <xdr:rowOff>171450</xdr:rowOff>
    </xdr:from>
    <xdr:to>
      <xdr:col>11</xdr:col>
      <xdr:colOff>695325</xdr:colOff>
      <xdr:row>56</xdr:row>
      <xdr:rowOff>57150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30</xdr:row>
      <xdr:rowOff>133350</xdr:rowOff>
    </xdr:from>
    <xdr:to>
      <xdr:col>13</xdr:col>
      <xdr:colOff>152400</xdr:colOff>
      <xdr:row>45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CION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ametros"/>
      <sheetName val="Ejemplos"/>
      <sheetName val="Punto 1"/>
    </sheetNames>
    <sheetDataSet>
      <sheetData sheetId="0"/>
      <sheetData sheetId="1"/>
      <sheetData sheetId="2">
        <row r="18">
          <cell r="E18" t="str">
            <v>Call price</v>
          </cell>
          <cell r="F18" t="str">
            <v>MAX(S-X)</v>
          </cell>
          <cell r="R18">
            <v>1.3464699697666607</v>
          </cell>
          <cell r="S18">
            <v>1.3412040105044589</v>
          </cell>
        </row>
        <row r="19">
          <cell r="E19">
            <v>8.6434337071156691</v>
          </cell>
          <cell r="F19">
            <v>5</v>
          </cell>
          <cell r="Q19">
            <v>4</v>
          </cell>
          <cell r="R19">
            <v>9.8512051879157756</v>
          </cell>
          <cell r="S19">
            <v>9.9262040105044598</v>
          </cell>
        </row>
        <row r="20">
          <cell r="D20">
            <v>5</v>
          </cell>
          <cell r="E20">
            <v>1.627110379526155E-17</v>
          </cell>
          <cell r="F20">
            <v>0</v>
          </cell>
          <cell r="Q20">
            <v>6</v>
          </cell>
          <cell r="R20">
            <v>7.8512051879157756</v>
          </cell>
          <cell r="S20">
            <v>7.9262040105044598</v>
          </cell>
        </row>
        <row r="21">
          <cell r="D21">
            <v>10</v>
          </cell>
          <cell r="E21">
            <v>6.2724512245752876E-9</v>
          </cell>
          <cell r="F21">
            <v>0</v>
          </cell>
          <cell r="Q21">
            <v>8</v>
          </cell>
          <cell r="R21">
            <v>5.8512051879423206</v>
          </cell>
          <cell r="S21">
            <v>5.9262040105044598</v>
          </cell>
        </row>
        <row r="22">
          <cell r="D22">
            <v>15</v>
          </cell>
          <cell r="E22">
            <v>2.8392918078762124E-5</v>
          </cell>
          <cell r="F22">
            <v>0</v>
          </cell>
          <cell r="Q22">
            <v>10</v>
          </cell>
          <cell r="R22">
            <v>3.8512300235424721</v>
          </cell>
          <cell r="S22">
            <v>3.9262040105044598</v>
          </cell>
        </row>
        <row r="23">
          <cell r="D23">
            <v>20</v>
          </cell>
          <cell r="E23">
            <v>2.8537602395109773E-3</v>
          </cell>
          <cell r="F23">
            <v>0</v>
          </cell>
          <cell r="Q23">
            <v>12</v>
          </cell>
          <cell r="R23">
            <v>1.8752230079122381</v>
          </cell>
          <cell r="S23">
            <v>1.9262040105044598</v>
          </cell>
        </row>
        <row r="24">
          <cell r="D24">
            <v>25</v>
          </cell>
          <cell r="E24">
            <v>4.8405224028066296E-2</v>
          </cell>
          <cell r="F24">
            <v>0</v>
          </cell>
          <cell r="Q24">
            <v>14</v>
          </cell>
          <cell r="R24">
            <v>0.41579979059138594</v>
          </cell>
          <cell r="S24">
            <v>0</v>
          </cell>
        </row>
        <row r="25">
          <cell r="D25">
            <v>30</v>
          </cell>
          <cell r="E25">
            <v>0.31005154938344992</v>
          </cell>
          <cell r="F25">
            <v>0</v>
          </cell>
          <cell r="Q25">
            <v>16</v>
          </cell>
          <cell r="R25">
            <v>2.7136658940376535E-2</v>
          </cell>
          <cell r="S25">
            <v>0</v>
          </cell>
        </row>
        <row r="26">
          <cell r="D26">
            <v>35</v>
          </cell>
          <cell r="E26">
            <v>1.1076855598914603</v>
          </cell>
          <cell r="F26">
            <v>0</v>
          </cell>
          <cell r="Q26">
            <v>18</v>
          </cell>
          <cell r="R26">
            <v>5.4483983528896829E-4</v>
          </cell>
          <cell r="S26">
            <v>0</v>
          </cell>
        </row>
        <row r="27">
          <cell r="D27">
            <v>40</v>
          </cell>
          <cell r="E27">
            <v>2.7318630834502855</v>
          </cell>
          <cell r="F27">
            <v>0</v>
          </cell>
          <cell r="Q27">
            <v>20</v>
          </cell>
          <cell r="R27">
            <v>4.3167627161722066E-6</v>
          </cell>
          <cell r="S27">
            <v>0</v>
          </cell>
        </row>
        <row r="28">
          <cell r="D28">
            <v>45</v>
          </cell>
          <cell r="E28">
            <v>5.2776725210471547</v>
          </cell>
          <cell r="F28">
            <v>0</v>
          </cell>
        </row>
        <row r="29">
          <cell r="D29">
            <v>50</v>
          </cell>
          <cell r="E29">
            <v>8.6434337071156691</v>
          </cell>
          <cell r="F29">
            <v>5</v>
          </cell>
        </row>
        <row r="30">
          <cell r="D30">
            <v>55</v>
          </cell>
          <cell r="E30">
            <v>12.630730980450593</v>
          </cell>
          <cell r="F30">
            <v>10</v>
          </cell>
        </row>
        <row r="31">
          <cell r="D31">
            <v>60</v>
          </cell>
          <cell r="E31">
            <v>17.037833435617173</v>
          </cell>
          <cell r="F31">
            <v>15</v>
          </cell>
        </row>
        <row r="32">
          <cell r="D32">
            <v>65</v>
          </cell>
          <cell r="E32">
            <v>21.705621303373086</v>
          </cell>
          <cell r="F32">
            <v>20</v>
          </cell>
        </row>
        <row r="33">
          <cell r="D33">
            <v>70</v>
          </cell>
          <cell r="E33">
            <v>26.525589687810623</v>
          </cell>
          <cell r="F33">
            <v>25</v>
          </cell>
        </row>
        <row r="34">
          <cell r="D34">
            <v>75</v>
          </cell>
          <cell r="E34">
            <v>31.430439448391112</v>
          </cell>
          <cell r="F34">
            <v>30</v>
          </cell>
        </row>
        <row r="35">
          <cell r="D35">
            <v>80</v>
          </cell>
          <cell r="E35">
            <v>36.381069196126973</v>
          </cell>
          <cell r="F35">
            <v>35</v>
          </cell>
        </row>
        <row r="38">
          <cell r="E38">
            <v>8.6434337071156691</v>
          </cell>
          <cell r="N38">
            <v>8.6434337071156691</v>
          </cell>
        </row>
        <row r="39">
          <cell r="D39">
            <v>0.01</v>
          </cell>
          <cell r="E39">
            <v>8.0115291318489703</v>
          </cell>
          <cell r="M39">
            <v>0.05</v>
          </cell>
          <cell r="N39">
            <v>6.3304428770313521</v>
          </cell>
        </row>
        <row r="40">
          <cell r="D40">
            <v>1.2E-2</v>
          </cell>
          <cell r="E40">
            <v>8.0530837440691059</v>
          </cell>
          <cell r="M40">
            <v>0.1</v>
          </cell>
          <cell r="N40">
            <v>6.4324516904532061</v>
          </cell>
        </row>
        <row r="41">
          <cell r="D41">
            <v>1.4E-2</v>
          </cell>
          <cell r="E41">
            <v>8.0947227993232467</v>
          </cell>
          <cell r="M41">
            <v>0.15</v>
          </cell>
          <cell r="N41">
            <v>6.7958785305451457</v>
          </cell>
        </row>
        <row r="42">
          <cell r="D42">
            <v>1.6E-2</v>
          </cell>
          <cell r="E42">
            <v>8.1364456864671624</v>
          </cell>
          <cell r="M42">
            <v>0.2</v>
          </cell>
          <cell r="N42">
            <v>7.3327636132126841</v>
          </cell>
        </row>
        <row r="43">
          <cell r="D43">
            <v>1.7999999999999999E-2</v>
          </cell>
          <cell r="E43">
            <v>8.178251792014386</v>
          </cell>
          <cell r="M43">
            <v>0.25</v>
          </cell>
          <cell r="N43">
            <v>7.9623091583123298</v>
          </cell>
        </row>
        <row r="44">
          <cell r="D44">
            <v>0.02</v>
          </cell>
          <cell r="E44">
            <v>8.2201405001830317</v>
          </cell>
          <cell r="M44">
            <v>0.3</v>
          </cell>
          <cell r="N44">
            <v>8.6434337071156691</v>
          </cell>
        </row>
        <row r="45">
          <cell r="D45">
            <v>2.1999999999999999E-2</v>
          </cell>
          <cell r="E45">
            <v>8.2621111929428537</v>
          </cell>
          <cell r="M45">
            <v>0.35</v>
          </cell>
          <cell r="N45">
            <v>9.3549342262771304</v>
          </cell>
        </row>
        <row r="46">
          <cell r="D46">
            <v>2.4E-2</v>
          </cell>
          <cell r="E46">
            <v>8.3041632500621674</v>
          </cell>
          <cell r="M46">
            <v>0.4</v>
          </cell>
          <cell r="N46">
            <v>10.085010895504293</v>
          </cell>
        </row>
        <row r="47">
          <cell r="D47">
            <v>2.5999999999999999E-2</v>
          </cell>
          <cell r="E47">
            <v>8.3462960491550859</v>
          </cell>
          <cell r="M47">
            <v>0.45</v>
          </cell>
          <cell r="N47">
            <v>10.826587213661234</v>
          </cell>
        </row>
        <row r="48">
          <cell r="D48">
            <v>2.8000000000000001E-2</v>
          </cell>
          <cell r="E48">
            <v>8.3885089657286898</v>
          </cell>
          <cell r="M48">
            <v>0.5</v>
          </cell>
          <cell r="N48">
            <v>11.575129392711439</v>
          </cell>
        </row>
        <row r="49">
          <cell r="D49">
            <v>0.03</v>
          </cell>
          <cell r="E49">
            <v>8.4308013732303912</v>
          </cell>
          <cell r="M49">
            <v>0.55000000000000004</v>
          </cell>
          <cell r="N49">
            <v>12.327560341570614</v>
          </cell>
        </row>
        <row r="50">
          <cell r="D50">
            <v>3.2000000000000001E-2</v>
          </cell>
          <cell r="E50">
            <v>8.473172643095257</v>
          </cell>
          <cell r="M50">
            <v>0.6</v>
          </cell>
          <cell r="N50">
            <v>13.081683366987708</v>
          </cell>
        </row>
        <row r="51">
          <cell r="D51">
            <v>3.4000000000000002E-2</v>
          </cell>
          <cell r="E51">
            <v>8.515622144793511</v>
          </cell>
        </row>
        <row r="52">
          <cell r="D52">
            <v>3.5999999999999997E-2</v>
          </cell>
          <cell r="E52">
            <v>8.558149245877992</v>
          </cell>
        </row>
        <row r="53">
          <cell r="D53">
            <v>3.7999999999999999E-2</v>
          </cell>
          <cell r="E53">
            <v>8.6007533120317667</v>
          </cell>
        </row>
        <row r="54">
          <cell r="D54">
            <v>0.04</v>
          </cell>
          <cell r="E54">
            <v>8.6434337071156691</v>
          </cell>
        </row>
        <row r="55">
          <cell r="D55">
            <v>4.2000000000000003E-2</v>
          </cell>
          <cell r="E55">
            <v>8.6861897932160232</v>
          </cell>
        </row>
        <row r="56">
          <cell r="D56">
            <v>4.3999999999999997E-2</v>
          </cell>
          <cell r="E56">
            <v>8.7290209306922719</v>
          </cell>
        </row>
        <row r="57">
          <cell r="D57">
            <v>4.5999999999999999E-2</v>
          </cell>
          <cell r="E57">
            <v>8.7719264782247279</v>
          </cell>
        </row>
        <row r="58">
          <cell r="D58">
            <v>4.8000000000000001E-2</v>
          </cell>
          <cell r="E58">
            <v>8.8149057928622163</v>
          </cell>
        </row>
        <row r="59">
          <cell r="D59">
            <v>0.05</v>
          </cell>
          <cell r="E59">
            <v>8.857958230069972</v>
          </cell>
        </row>
        <row r="60">
          <cell r="D60">
            <v>5.1999999999999998E-2</v>
          </cell>
          <cell r="E60">
            <v>8.9010831437772246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E60"/>
  <sheetViews>
    <sheetView tabSelected="1" topLeftCell="A13" zoomScale="40" zoomScaleNormal="40" workbookViewId="0">
      <selection activeCell="B42" sqref="B42"/>
    </sheetView>
  </sheetViews>
  <sheetFormatPr baseColWidth="10" defaultRowHeight="15"/>
  <cols>
    <col min="18" max="18" width="11.85546875" bestFit="1" customWidth="1"/>
  </cols>
  <sheetData>
    <row r="2" spans="2:31">
      <c r="B2" s="10" t="s">
        <v>0</v>
      </c>
      <c r="C2" s="11">
        <v>50</v>
      </c>
      <c r="D2" s="10" t="s">
        <v>18</v>
      </c>
      <c r="Q2" s="10" t="s">
        <v>0</v>
      </c>
      <c r="R2" s="11">
        <v>12.585000000000001</v>
      </c>
      <c r="S2" s="10" t="s">
        <v>18</v>
      </c>
      <c r="AB2" s="10" t="s">
        <v>0</v>
      </c>
      <c r="AC2" s="11">
        <v>12.585000000000001</v>
      </c>
      <c r="AD2" s="10" t="s">
        <v>18</v>
      </c>
    </row>
    <row r="3" spans="2:31">
      <c r="B3" s="10" t="s">
        <v>1</v>
      </c>
      <c r="C3" s="11">
        <v>45</v>
      </c>
      <c r="D3" s="10" t="s">
        <v>19</v>
      </c>
      <c r="Q3" s="10" t="s">
        <v>44</v>
      </c>
      <c r="R3" s="33">
        <f>14*((1+R4)^-(45/365))</f>
        <v>13.92620401050446</v>
      </c>
      <c r="S3" s="10" t="s">
        <v>19</v>
      </c>
      <c r="AB3" s="10" t="s">
        <v>44</v>
      </c>
      <c r="AC3" s="33">
        <v>12.433999999999999</v>
      </c>
      <c r="AD3" s="10" t="s">
        <v>19</v>
      </c>
    </row>
    <row r="4" spans="2:31">
      <c r="B4" s="10" t="s">
        <v>21</v>
      </c>
      <c r="C4" s="13">
        <v>0.04</v>
      </c>
      <c r="D4" s="10" t="s">
        <v>22</v>
      </c>
      <c r="Q4" s="10" t="s">
        <v>21</v>
      </c>
      <c r="R4" s="13">
        <v>4.3799999999999999E-2</v>
      </c>
      <c r="S4" s="10" t="s">
        <v>22</v>
      </c>
      <c r="AB4" s="10" t="s">
        <v>21</v>
      </c>
      <c r="AC4" s="13">
        <v>4.3799999999999999E-2</v>
      </c>
      <c r="AD4" s="10" t="s">
        <v>22</v>
      </c>
    </row>
    <row r="5" spans="2:31">
      <c r="B5" s="10" t="s">
        <v>16</v>
      </c>
      <c r="C5" s="11">
        <v>0.75</v>
      </c>
      <c r="D5" s="10" t="s">
        <v>20</v>
      </c>
      <c r="Q5" s="10" t="s">
        <v>16</v>
      </c>
      <c r="R5" s="11">
        <v>45</v>
      </c>
      <c r="S5" s="10" t="s">
        <v>20</v>
      </c>
      <c r="AB5" s="10" t="s">
        <v>16</v>
      </c>
      <c r="AC5" s="11">
        <v>45</v>
      </c>
      <c r="AD5" s="10" t="s">
        <v>45</v>
      </c>
    </row>
    <row r="6" spans="2:31">
      <c r="B6" s="10" t="s">
        <v>25</v>
      </c>
      <c r="C6" s="10">
        <v>0.3</v>
      </c>
      <c r="D6" s="10" t="s">
        <v>46</v>
      </c>
      <c r="Q6" s="10" t="s">
        <v>25</v>
      </c>
      <c r="R6" s="10">
        <v>0.25</v>
      </c>
      <c r="S6" s="10" t="s">
        <v>46</v>
      </c>
      <c r="AB6" s="10" t="s">
        <v>25</v>
      </c>
      <c r="AC6" s="10">
        <v>0.25</v>
      </c>
      <c r="AD6" s="10" t="s">
        <v>46</v>
      </c>
    </row>
    <row r="8" spans="2:31">
      <c r="B8" s="10" t="s">
        <v>8</v>
      </c>
      <c r="C8" s="16">
        <f>+((LN(C2/C3))+((C4+0.5*C6^2)*C5))/(C6*SQRT(C5))</f>
        <v>0.65090667825228321</v>
      </c>
      <c r="Q8" s="34" t="s">
        <v>47</v>
      </c>
      <c r="R8">
        <f>+(LN(R2/R3)+((0+0.5*R6^2)*(R5/365)))/(R6*SQRT(R5/365))</f>
        <v>-1.1097393813597289</v>
      </c>
      <c r="AB8" s="34" t="s">
        <v>47</v>
      </c>
      <c r="AC8">
        <f>+(LN(AC2/AC3)+((0+0.5*AC6^2)*(AC5/365)))/(AC6*SQRT(AC5/365))</f>
        <v>0.18140301193365177</v>
      </c>
      <c r="AD8" s="16">
        <f>+((LN(AC2/AC3))+((AC4+0.5*AC6^2)*AC5))/(AC6*SQRT(AC5))</f>
        <v>2.0210005580300399</v>
      </c>
    </row>
    <row r="9" spans="2:31">
      <c r="B9" s="10" t="s">
        <v>9</v>
      </c>
      <c r="C9" s="30">
        <f>+C8-(C6*SQRT(C5))</f>
        <v>0.39109905711695164</v>
      </c>
      <c r="Q9" s="35" t="s">
        <v>48</v>
      </c>
      <c r="R9">
        <f>+R8-R6*SQRT(R5/365)</f>
        <v>-1.1975202417568269</v>
      </c>
      <c r="AB9" s="35" t="s">
        <v>48</v>
      </c>
      <c r="AC9">
        <f>+AC8-AC6*SQRT(AC5/365)</f>
        <v>9.3622151536553844E-2</v>
      </c>
    </row>
    <row r="10" spans="2:31">
      <c r="B10" s="10"/>
    </row>
    <row r="11" spans="2:31">
      <c r="B11" s="10" t="s">
        <v>10</v>
      </c>
      <c r="C11">
        <f>+NORMSDIST(C8)</f>
        <v>0.74244663489664375</v>
      </c>
      <c r="Q11" t="s">
        <v>49</v>
      </c>
      <c r="R11">
        <f>+NORMSDIST(R8)</f>
        <v>0.13355567377812338</v>
      </c>
      <c r="AB11" t="s">
        <v>49</v>
      </c>
      <c r="AC11">
        <f>+NORMSDIST(AC8)</f>
        <v>0.57197437254045336</v>
      </c>
      <c r="AD11">
        <f>+NORMSDIST(AD8)</f>
        <v>0.97836014633644597</v>
      </c>
    </row>
    <row r="12" spans="2:31">
      <c r="B12" s="10" t="s">
        <v>11</v>
      </c>
      <c r="C12">
        <f>+NORMSDIST(C9)</f>
        <v>0.65213799122144223</v>
      </c>
      <c r="Q12" t="s">
        <v>50</v>
      </c>
      <c r="R12">
        <f>+NORMSDIST(R9)</f>
        <v>0.11555192136227632</v>
      </c>
      <c r="AB12" t="s">
        <v>50</v>
      </c>
      <c r="AC12">
        <f>+NORMSDIST(AC9)</f>
        <v>0.5372953437411796</v>
      </c>
    </row>
    <row r="14" spans="2:31">
      <c r="B14" s="10" t="s">
        <v>51</v>
      </c>
      <c r="C14">
        <f>+(C2*C11)-(C3*EXP(-C4*C5)*C12)</f>
        <v>8.6434337071156691</v>
      </c>
      <c r="Q14" t="s">
        <v>12</v>
      </c>
      <c r="R14" s="36">
        <f>+(R2*R11)-(R3*EXP(-R4*(R5/365))*R12)</f>
        <v>8.0264781850885258E-2</v>
      </c>
      <c r="AB14" t="s">
        <v>12</v>
      </c>
      <c r="AC14" s="36">
        <f>+(AC2*AC11)-(AC3*EXP(-AC4*(AC5/365))*AC12)</f>
        <v>0.55354588803061233</v>
      </c>
    </row>
    <row r="15" spans="2:31">
      <c r="B15" s="10" t="s">
        <v>52</v>
      </c>
      <c r="C15">
        <f>+C14-C2+(C3*EXP(-C4*C5))</f>
        <v>2.3134827167985392</v>
      </c>
      <c r="Q15" t="s">
        <v>53</v>
      </c>
      <c r="R15" s="37">
        <f>+R14-R2+R3*EXP(-R4*(R5/365))</f>
        <v>1.3464699697666607</v>
      </c>
      <c r="S15" s="37">
        <f>+R3*(1-R12)-R2*(1-R11)</f>
        <v>1.4128025343053139</v>
      </c>
      <c r="T15" s="37"/>
      <c r="AB15" t="s">
        <v>53</v>
      </c>
      <c r="AC15" s="37">
        <f>+AC14-AC2+AC3*EXP(-AC4*(AC5/365))</f>
        <v>0.33558324987276933</v>
      </c>
      <c r="AE15" s="37"/>
    </row>
    <row r="16" spans="2:31">
      <c r="R16" s="37"/>
    </row>
    <row r="17" spans="4:19">
      <c r="R17" s="37" t="s">
        <v>54</v>
      </c>
      <c r="S17" t="s">
        <v>55</v>
      </c>
    </row>
    <row r="18" spans="4:19">
      <c r="E18" t="s">
        <v>34</v>
      </c>
      <c r="F18" t="s">
        <v>56</v>
      </c>
      <c r="R18" s="37">
        <f>+R15</f>
        <v>1.3464699697666607</v>
      </c>
      <c r="S18" s="37">
        <f>+MAX(R3-R2,0)</f>
        <v>1.3412040105044589</v>
      </c>
    </row>
    <row r="19" spans="4:19">
      <c r="E19">
        <f>+C14</f>
        <v>8.6434337071156691</v>
      </c>
      <c r="F19">
        <f>+MAX(C2-C3,0)</f>
        <v>5</v>
      </c>
      <c r="Q19">
        <v>4</v>
      </c>
      <c r="R19">
        <v>9.8512051879157756</v>
      </c>
      <c r="S19">
        <v>9.9262040105044598</v>
      </c>
    </row>
    <row r="20" spans="4:19">
      <c r="D20">
        <v>5</v>
      </c>
      <c r="E20">
        <v>1.627110379526155E-17</v>
      </c>
      <c r="F20">
        <v>0</v>
      </c>
      <c r="Q20">
        <v>6</v>
      </c>
      <c r="R20">
        <v>7.8512051879157756</v>
      </c>
      <c r="S20">
        <v>7.9262040105044598</v>
      </c>
    </row>
    <row r="21" spans="4:19">
      <c r="D21">
        <v>10</v>
      </c>
      <c r="E21">
        <v>6.2724512245752876E-9</v>
      </c>
      <c r="F21">
        <v>0</v>
      </c>
      <c r="Q21">
        <v>8</v>
      </c>
      <c r="R21">
        <v>5.8512051879423206</v>
      </c>
      <c r="S21">
        <v>5.9262040105044598</v>
      </c>
    </row>
    <row r="22" spans="4:19">
      <c r="D22">
        <v>15</v>
      </c>
      <c r="E22">
        <v>2.8392918078762124E-5</v>
      </c>
      <c r="F22">
        <v>0</v>
      </c>
      <c r="Q22">
        <v>10</v>
      </c>
      <c r="R22">
        <v>3.8512300235424721</v>
      </c>
      <c r="S22">
        <v>3.9262040105044598</v>
      </c>
    </row>
    <row r="23" spans="4:19">
      <c r="D23">
        <v>20</v>
      </c>
      <c r="E23">
        <v>2.8537602395109773E-3</v>
      </c>
      <c r="F23">
        <v>0</v>
      </c>
      <c r="Q23">
        <v>12</v>
      </c>
      <c r="R23">
        <v>1.8752230079122381</v>
      </c>
      <c r="S23">
        <v>1.9262040105044598</v>
      </c>
    </row>
    <row r="24" spans="4:19">
      <c r="D24">
        <v>25</v>
      </c>
      <c r="E24">
        <v>4.8405224028066296E-2</v>
      </c>
      <c r="F24">
        <v>0</v>
      </c>
      <c r="Q24">
        <v>14</v>
      </c>
      <c r="R24">
        <v>0.41579979059138594</v>
      </c>
      <c r="S24">
        <v>0</v>
      </c>
    </row>
    <row r="25" spans="4:19">
      <c r="D25">
        <v>30</v>
      </c>
      <c r="E25">
        <v>0.31005154938344992</v>
      </c>
      <c r="F25">
        <v>0</v>
      </c>
      <c r="Q25">
        <v>16</v>
      </c>
      <c r="R25">
        <v>2.7136658940376535E-2</v>
      </c>
      <c r="S25">
        <v>0</v>
      </c>
    </row>
    <row r="26" spans="4:19">
      <c r="D26">
        <v>35</v>
      </c>
      <c r="E26">
        <v>1.1076855598914603</v>
      </c>
      <c r="F26">
        <v>0</v>
      </c>
      <c r="Q26">
        <v>18</v>
      </c>
      <c r="R26">
        <v>5.4483983528896829E-4</v>
      </c>
      <c r="S26">
        <v>0</v>
      </c>
    </row>
    <row r="27" spans="4:19">
      <c r="D27">
        <v>40</v>
      </c>
      <c r="E27">
        <v>2.7318630834502855</v>
      </c>
      <c r="F27">
        <v>0</v>
      </c>
      <c r="Q27">
        <v>20</v>
      </c>
      <c r="R27">
        <v>4.3167627161722066E-6</v>
      </c>
      <c r="S27">
        <v>0</v>
      </c>
    </row>
    <row r="28" spans="4:19">
      <c r="D28">
        <v>45</v>
      </c>
      <c r="E28">
        <v>5.2776725210471547</v>
      </c>
      <c r="F28">
        <v>0</v>
      </c>
    </row>
    <row r="29" spans="4:19">
      <c r="D29">
        <v>50</v>
      </c>
      <c r="E29">
        <v>8.6434337071156691</v>
      </c>
      <c r="F29">
        <v>5</v>
      </c>
    </row>
    <row r="30" spans="4:19">
      <c r="D30">
        <v>55</v>
      </c>
      <c r="E30">
        <v>12.630730980450593</v>
      </c>
      <c r="F30">
        <v>10</v>
      </c>
    </row>
    <row r="31" spans="4:19">
      <c r="D31">
        <v>60</v>
      </c>
      <c r="E31">
        <v>17.037833435617173</v>
      </c>
      <c r="F31">
        <v>15</v>
      </c>
    </row>
    <row r="32" spans="4:19">
      <c r="D32">
        <v>65</v>
      </c>
      <c r="E32">
        <v>21.705621303373086</v>
      </c>
      <c r="F32">
        <v>20</v>
      </c>
    </row>
    <row r="33" spans="4:14">
      <c r="D33">
        <v>70</v>
      </c>
      <c r="E33">
        <v>26.525589687810623</v>
      </c>
      <c r="F33">
        <v>25</v>
      </c>
    </row>
    <row r="34" spans="4:14">
      <c r="D34">
        <v>75</v>
      </c>
      <c r="E34">
        <v>31.430439448391112</v>
      </c>
      <c r="F34">
        <v>30</v>
      </c>
    </row>
    <row r="35" spans="4:14">
      <c r="D35">
        <v>80</v>
      </c>
      <c r="E35">
        <v>36.381069196126973</v>
      </c>
      <c r="F35">
        <v>35</v>
      </c>
    </row>
    <row r="37" spans="4:14">
      <c r="E37" t="s">
        <v>57</v>
      </c>
      <c r="N37" t="s">
        <v>57</v>
      </c>
    </row>
    <row r="38" spans="4:14">
      <c r="E38">
        <f>+C14</f>
        <v>8.6434337071156691</v>
      </c>
      <c r="N38">
        <f>+C14</f>
        <v>8.6434337071156691</v>
      </c>
    </row>
    <row r="39" spans="4:14">
      <c r="D39" s="1">
        <v>0.01</v>
      </c>
      <c r="E39">
        <v>8.0115291318489703</v>
      </c>
      <c r="M39" s="1">
        <v>0.05</v>
      </c>
      <c r="N39">
        <v>6.3304428770313521</v>
      </c>
    </row>
    <row r="40" spans="4:14">
      <c r="D40" s="38">
        <v>1.2E-2</v>
      </c>
      <c r="E40">
        <v>8.0530837440691059</v>
      </c>
      <c r="M40" s="1">
        <v>0.1</v>
      </c>
      <c r="N40">
        <v>6.4324516904532061</v>
      </c>
    </row>
    <row r="41" spans="4:14">
      <c r="D41" s="1">
        <v>1.4E-2</v>
      </c>
      <c r="E41">
        <v>8.0947227993232467</v>
      </c>
      <c r="M41" s="1">
        <v>0.15</v>
      </c>
      <c r="N41">
        <v>6.7958785305451457</v>
      </c>
    </row>
    <row r="42" spans="4:14">
      <c r="D42" s="38">
        <v>1.6E-2</v>
      </c>
      <c r="E42">
        <v>8.1364456864671624</v>
      </c>
      <c r="M42" s="1">
        <v>0.2</v>
      </c>
      <c r="N42">
        <v>7.3327636132126841</v>
      </c>
    </row>
    <row r="43" spans="4:14">
      <c r="D43" s="1">
        <v>1.7999999999999999E-2</v>
      </c>
      <c r="E43">
        <v>8.178251792014386</v>
      </c>
      <c r="M43" s="1">
        <v>0.25</v>
      </c>
      <c r="N43">
        <v>7.9623091583123298</v>
      </c>
    </row>
    <row r="44" spans="4:14">
      <c r="D44" s="38">
        <v>0.02</v>
      </c>
      <c r="E44">
        <v>8.2201405001830317</v>
      </c>
      <c r="M44" s="1">
        <v>0.3</v>
      </c>
      <c r="N44">
        <v>8.6434337071156691</v>
      </c>
    </row>
    <row r="45" spans="4:14">
      <c r="D45" s="1">
        <v>2.1999999999999999E-2</v>
      </c>
      <c r="E45">
        <v>8.2621111929428537</v>
      </c>
      <c r="M45" s="1">
        <v>0.35</v>
      </c>
      <c r="N45">
        <v>9.3549342262771304</v>
      </c>
    </row>
    <row r="46" spans="4:14">
      <c r="D46" s="38">
        <v>2.4E-2</v>
      </c>
      <c r="E46">
        <v>8.3041632500621674</v>
      </c>
      <c r="M46" s="1">
        <v>0.4</v>
      </c>
      <c r="N46">
        <v>10.085010895504293</v>
      </c>
    </row>
    <row r="47" spans="4:14">
      <c r="D47" s="1">
        <v>2.5999999999999999E-2</v>
      </c>
      <c r="E47">
        <v>8.3462960491550859</v>
      </c>
      <c r="M47" s="1">
        <v>0.45</v>
      </c>
      <c r="N47">
        <v>10.826587213661234</v>
      </c>
    </row>
    <row r="48" spans="4:14">
      <c r="D48" s="38">
        <v>2.8000000000000001E-2</v>
      </c>
      <c r="E48">
        <v>8.3885089657286898</v>
      </c>
      <c r="M48" s="1">
        <v>0.5</v>
      </c>
      <c r="N48">
        <v>11.575129392711439</v>
      </c>
    </row>
    <row r="49" spans="4:14">
      <c r="D49" s="1">
        <v>0.03</v>
      </c>
      <c r="E49">
        <v>8.4308013732303912</v>
      </c>
      <c r="M49" s="1">
        <v>0.55000000000000004</v>
      </c>
      <c r="N49">
        <v>12.327560341570614</v>
      </c>
    </row>
    <row r="50" spans="4:14">
      <c r="D50" s="38">
        <v>3.2000000000000001E-2</v>
      </c>
      <c r="E50">
        <v>8.473172643095257</v>
      </c>
      <c r="M50" s="1">
        <v>0.6</v>
      </c>
      <c r="N50">
        <v>13.081683366987708</v>
      </c>
    </row>
    <row r="51" spans="4:14">
      <c r="D51" s="1">
        <v>3.4000000000000002E-2</v>
      </c>
      <c r="E51">
        <v>8.515622144793511</v>
      </c>
    </row>
    <row r="52" spans="4:14">
      <c r="D52" s="38">
        <v>3.5999999999999997E-2</v>
      </c>
      <c r="E52">
        <v>8.558149245877992</v>
      </c>
    </row>
    <row r="53" spans="4:14">
      <c r="D53" s="1">
        <v>3.7999999999999999E-2</v>
      </c>
      <c r="E53">
        <v>8.6007533120317667</v>
      </c>
    </row>
    <row r="54" spans="4:14">
      <c r="D54" s="38">
        <v>0.04</v>
      </c>
      <c r="E54">
        <v>8.6434337071156691</v>
      </c>
    </row>
    <row r="55" spans="4:14">
      <c r="D55" s="1">
        <v>4.2000000000000003E-2</v>
      </c>
      <c r="E55">
        <v>8.6861897932160232</v>
      </c>
    </row>
    <row r="56" spans="4:14">
      <c r="D56" s="38">
        <v>4.3999999999999997E-2</v>
      </c>
      <c r="E56">
        <v>8.7290209306922719</v>
      </c>
    </row>
    <row r="57" spans="4:14">
      <c r="D57" s="1">
        <v>4.5999999999999999E-2</v>
      </c>
      <c r="E57">
        <v>8.7719264782247279</v>
      </c>
    </row>
    <row r="58" spans="4:14">
      <c r="D58" s="38">
        <v>4.8000000000000001E-2</v>
      </c>
      <c r="E58">
        <v>8.8149057928622163</v>
      </c>
    </row>
    <row r="59" spans="4:14">
      <c r="D59" s="1">
        <v>0.05</v>
      </c>
      <c r="E59">
        <v>8.857958230069972</v>
      </c>
    </row>
    <row r="60" spans="4:14">
      <c r="D60" s="38">
        <v>5.1999999999999998E-2</v>
      </c>
      <c r="E60">
        <v>8.9010831437772246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55"/>
  <sheetViews>
    <sheetView topLeftCell="A31" workbookViewId="0">
      <selection activeCell="B44" sqref="B44"/>
    </sheetView>
  </sheetViews>
  <sheetFormatPr baseColWidth="10" defaultRowHeight="15"/>
  <cols>
    <col min="3" max="3" width="12" customWidth="1"/>
  </cols>
  <sheetData>
    <row r="3" spans="1:6">
      <c r="B3" t="s">
        <v>0</v>
      </c>
      <c r="C3">
        <v>5</v>
      </c>
    </row>
    <row r="4" spans="1:6">
      <c r="B4" t="s">
        <v>1</v>
      </c>
      <c r="C4">
        <v>4.5</v>
      </c>
    </row>
    <row r="5" spans="1:6">
      <c r="B5" t="s">
        <v>2</v>
      </c>
      <c r="C5" s="1">
        <v>0.2</v>
      </c>
    </row>
    <row r="6" spans="1:6">
      <c r="B6" t="s">
        <v>3</v>
      </c>
      <c r="C6" s="1">
        <v>0.04</v>
      </c>
    </row>
    <row r="7" spans="1:6">
      <c r="B7" t="s">
        <v>4</v>
      </c>
      <c r="C7">
        <v>0.75</v>
      </c>
      <c r="D7" t="s">
        <v>5</v>
      </c>
    </row>
    <row r="9" spans="1:6">
      <c r="A9" t="s">
        <v>6</v>
      </c>
    </row>
    <row r="10" spans="1:6">
      <c r="B10" t="s">
        <v>7</v>
      </c>
      <c r="C10">
        <v>0</v>
      </c>
    </row>
    <row r="13" spans="1:6">
      <c r="B13" t="s">
        <v>8</v>
      </c>
      <c r="C13" s="2">
        <f>+(LN(C3/C4)+(C6+0.5*C5^2)*C7)/(C5*SQRT(C7))</f>
        <v>0.8681068419053698</v>
      </c>
    </row>
    <row r="14" spans="1:6">
      <c r="B14" t="s">
        <v>9</v>
      </c>
      <c r="C14" s="2">
        <f>+C13-C5*SQRT(C7)</f>
        <v>0.69490176114848201</v>
      </c>
    </row>
    <row r="16" spans="1:6">
      <c r="B16" t="s">
        <v>10</v>
      </c>
      <c r="C16" s="3">
        <f>+NORMSDIST(C13)</f>
        <v>0.80733207706093724</v>
      </c>
      <c r="E16" t="s">
        <v>14</v>
      </c>
      <c r="F16">
        <f>+NORMSDIST(-C13)</f>
        <v>0.19266792293906276</v>
      </c>
    </row>
    <row r="17" spans="2:6">
      <c r="B17" t="s">
        <v>11</v>
      </c>
      <c r="C17" s="3">
        <f>+NORMSDIST(C14)</f>
        <v>0.75644156553407238</v>
      </c>
      <c r="E17" t="s">
        <v>15</v>
      </c>
      <c r="F17">
        <f>+NORMSDIST(-C14)</f>
        <v>0.24355843446592762</v>
      </c>
    </row>
    <row r="19" spans="2:6">
      <c r="B19" s="7" t="s">
        <v>12</v>
      </c>
      <c r="C19" s="6">
        <f>+C3*C16-C4*EXP(-C6*C7)*C17</f>
        <v>0.73327636132126894</v>
      </c>
    </row>
    <row r="20" spans="2:6">
      <c r="B20" s="31" t="s">
        <v>13</v>
      </c>
      <c r="C20" s="5">
        <f>+C19-C3+C4*EXP(-C6*C7)</f>
        <v>0.10028126228955525</v>
      </c>
    </row>
    <row r="21" spans="2:6">
      <c r="B21" s="31"/>
      <c r="C21" s="5">
        <f>+(C4*EXP(-C6*C7)*F17)-C3*F16</f>
        <v>0.10028126228955536</v>
      </c>
    </row>
    <row r="23" spans="2:6">
      <c r="C23" s="9"/>
      <c r="D23" t="str">
        <f>+B5</f>
        <v>sigma</v>
      </c>
      <c r="E23" t="str">
        <f>+B19</f>
        <v>Call</v>
      </c>
      <c r="F23" t="str">
        <f>+B20</f>
        <v>Put</v>
      </c>
    </row>
    <row r="24" spans="2:6">
      <c r="E24" s="4">
        <f>+C19</f>
        <v>0.73327636132126894</v>
      </c>
      <c r="F24" s="8">
        <f>+C20</f>
        <v>0.10028126228955525</v>
      </c>
    </row>
    <row r="25" spans="2:6">
      <c r="D25" s="1">
        <v>0.15</v>
      </c>
      <c r="E25">
        <f t="dataTable" ref="E25:F40" dt2D="0" dtr="0" r1="C5"/>
        <v>0.67958785305451519</v>
      </c>
      <c r="F25">
        <v>4.6592754022801941E-2</v>
      </c>
    </row>
    <row r="26" spans="2:6">
      <c r="D26" s="1">
        <v>0.25</v>
      </c>
      <c r="E26">
        <v>0.79623091583123351</v>
      </c>
      <c r="F26">
        <v>0.16323581679951982</v>
      </c>
    </row>
    <row r="27" spans="2:6">
      <c r="D27" s="1">
        <v>0.4</v>
      </c>
      <c r="E27">
        <v>1.0085010895504301</v>
      </c>
      <c r="F27">
        <v>0.37550599051871636</v>
      </c>
    </row>
    <row r="28" spans="2:6">
      <c r="D28" s="1">
        <v>0.8</v>
      </c>
      <c r="E28">
        <v>1.6087151446158336</v>
      </c>
      <c r="F28">
        <v>0.97572004558411995</v>
      </c>
    </row>
    <row r="29" spans="2:6">
      <c r="D29" s="1">
        <v>1.2</v>
      </c>
      <c r="E29">
        <v>2.1886375559777536</v>
      </c>
      <c r="F29">
        <v>1.5556424569460399</v>
      </c>
    </row>
    <row r="30" spans="2:6">
      <c r="D30" s="1">
        <v>2</v>
      </c>
      <c r="E30">
        <v>3.1967134907105414</v>
      </c>
      <c r="F30">
        <v>2.5637183916788278</v>
      </c>
    </row>
    <row r="31" spans="2:6">
      <c r="D31" s="1">
        <v>2.5333333333333301</v>
      </c>
      <c r="E31">
        <v>3.7272780201408602</v>
      </c>
      <c r="F31">
        <v>3.0942829211091465</v>
      </c>
    </row>
    <row r="32" spans="2:6">
      <c r="D32" s="1">
        <v>3.1333333333333302</v>
      </c>
      <c r="E32">
        <v>4.1835816468550648</v>
      </c>
      <c r="F32">
        <v>3.5505865478233511</v>
      </c>
    </row>
    <row r="33" spans="4:6">
      <c r="D33" s="1">
        <v>3.7333333333333298</v>
      </c>
      <c r="E33">
        <v>4.5051251577153373</v>
      </c>
      <c r="F33">
        <v>3.8721300586836236</v>
      </c>
    </row>
    <row r="34" spans="4:6">
      <c r="D34" s="1">
        <v>4.3333333333333304</v>
      </c>
      <c r="E34">
        <v>4.7169533566731383</v>
      </c>
      <c r="F34">
        <v>4.0839582576414246</v>
      </c>
    </row>
    <row r="35" spans="4:6">
      <c r="D35" s="1">
        <v>4.93333333333333</v>
      </c>
      <c r="E35">
        <v>4.8474289952001239</v>
      </c>
      <c r="F35">
        <v>4.2144338961684102</v>
      </c>
    </row>
    <row r="36" spans="4:6">
      <c r="D36" s="1">
        <v>5.5333333333333297</v>
      </c>
      <c r="E36">
        <v>4.9225733377992595</v>
      </c>
      <c r="F36">
        <v>4.2895782387675458</v>
      </c>
    </row>
    <row r="37" spans="4:6">
      <c r="D37" s="1">
        <v>6.1333333333333302</v>
      </c>
      <c r="E37">
        <v>4.9630396863064963</v>
      </c>
      <c r="F37">
        <v>4.3300445872747826</v>
      </c>
    </row>
    <row r="38" spans="4:6">
      <c r="D38" s="1">
        <v>6.7333333333333298</v>
      </c>
      <c r="E38">
        <v>4.9834160948882698</v>
      </c>
      <c r="F38">
        <v>4.3504209958565561</v>
      </c>
    </row>
    <row r="39" spans="4:6">
      <c r="D39" s="1">
        <v>7.3333333333333304</v>
      </c>
      <c r="E39">
        <v>4.9930100965024007</v>
      </c>
      <c r="F39">
        <v>4.360014997470687</v>
      </c>
    </row>
    <row r="40" spans="4:6">
      <c r="D40" s="1">
        <v>7.93333333333333</v>
      </c>
      <c r="E40">
        <v>4.9972339782305957</v>
      </c>
      <c r="F40">
        <v>4.364238879198882</v>
      </c>
    </row>
    <row r="42" spans="4:6">
      <c r="D42" t="str">
        <f>+B6</f>
        <v>rendimiento</v>
      </c>
      <c r="E42" t="str">
        <f>+B19</f>
        <v>Call</v>
      </c>
      <c r="F42" t="str">
        <f>+B20</f>
        <v>Put</v>
      </c>
    </row>
    <row r="43" spans="4:6">
      <c r="E43" s="4">
        <f>+C19</f>
        <v>0.73327636132126894</v>
      </c>
      <c r="F43" s="8">
        <f>+C20</f>
        <v>0.10028126228955525</v>
      </c>
    </row>
    <row r="44" spans="4:6">
      <c r="D44" s="1">
        <v>0.01</v>
      </c>
      <c r="E44">
        <f t="dataTable" ref="E44:F55" dt2D="0" dtr="0" r1="C6" ca="1"/>
        <v>0.66019749941426786</v>
      </c>
      <c r="F44">
        <v>0.12657374610039085</v>
      </c>
    </row>
    <row r="45" spans="4:6">
      <c r="D45" s="1">
        <v>0.02</v>
      </c>
      <c r="E45">
        <v>0.68426761675521153</v>
      </c>
      <c r="F45">
        <v>0.1172713449689935</v>
      </c>
    </row>
    <row r="46" spans="4:6">
      <c r="D46" s="1">
        <v>0.03</v>
      </c>
      <c r="E46">
        <v>0.70863338985808078</v>
      </c>
      <c r="F46">
        <v>0.10851395722809443</v>
      </c>
    </row>
    <row r="47" spans="4:6">
      <c r="D47" s="1">
        <v>0.04</v>
      </c>
      <c r="E47">
        <v>0.73327636132126894</v>
      </c>
      <c r="F47">
        <v>0.10028126228955525</v>
      </c>
    </row>
    <row r="48" spans="4:6">
      <c r="D48" s="1">
        <v>0.05</v>
      </c>
      <c r="E48">
        <v>0.75817793622139096</v>
      </c>
      <c r="F48">
        <v>9.2552815965088797E-2</v>
      </c>
    </row>
    <row r="49" spans="4:6">
      <c r="D49" s="1">
        <v>0.06</v>
      </c>
      <c r="E49">
        <v>0.78331945382396784</v>
      </c>
      <c r="F49">
        <v>8.5308122072917492E-2</v>
      </c>
    </row>
    <row r="50" spans="4:6">
      <c r="D50" s="1">
        <v>7.0000000000000007E-2</v>
      </c>
      <c r="E50">
        <v>0.8086822572813106</v>
      </c>
      <c r="F50">
        <v>7.8526702032415407E-2</v>
      </c>
    </row>
    <row r="51" spans="4:6">
      <c r="D51" s="1">
        <v>0.08</v>
      </c>
      <c r="E51">
        <v>0.83424776088011932</v>
      </c>
      <c r="F51">
        <v>7.218816200923861E-2</v>
      </c>
    </row>
    <row r="52" spans="4:6">
      <c r="D52" s="1">
        <v>0.09</v>
      </c>
      <c r="E52">
        <v>0.85999751443976535</v>
      </c>
      <c r="F52">
        <v>6.6272257211888785E-2</v>
      </c>
    </row>
    <row r="53" spans="4:6">
      <c r="D53" s="1">
        <v>0.1</v>
      </c>
      <c r="E53">
        <v>0.88591326450357233</v>
      </c>
      <c r="F53">
        <v>6.0758952982060244E-2</v>
      </c>
    </row>
    <row r="54" spans="4:6">
      <c r="D54" s="1">
        <v>0.11</v>
      </c>
      <c r="E54">
        <v>0.91197701200911663</v>
      </c>
      <c r="F54">
        <v>5.5628482364737053E-2</v>
      </c>
    </row>
    <row r="55" spans="4:6">
      <c r="D55" s="1">
        <v>0.12</v>
      </c>
      <c r="E55">
        <v>0.93817106616875723</v>
      </c>
      <c r="F55">
        <v>5.0861399889283732E-2</v>
      </c>
    </row>
  </sheetData>
  <mergeCells count="1">
    <mergeCell ref="B20:B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topLeftCell="A10" workbookViewId="0">
      <selection activeCell="D28" sqref="D28"/>
    </sheetView>
  </sheetViews>
  <sheetFormatPr baseColWidth="10" defaultRowHeight="15"/>
  <cols>
    <col min="2" max="2" width="14" customWidth="1"/>
    <col min="3" max="3" width="14.85546875" customWidth="1"/>
    <col min="4" max="4" width="14" customWidth="1"/>
    <col min="5" max="5" width="11.85546875" bestFit="1" customWidth="1"/>
  </cols>
  <sheetData>
    <row r="1" spans="1:7" ht="18">
      <c r="A1" s="32" t="s">
        <v>17</v>
      </c>
      <c r="B1" s="32"/>
      <c r="C1" s="32"/>
      <c r="D1" s="32"/>
      <c r="E1" s="32"/>
    </row>
    <row r="2" spans="1:7">
      <c r="A2" s="10" t="s">
        <v>0</v>
      </c>
      <c r="B2" s="11">
        <v>100</v>
      </c>
      <c r="C2" s="10" t="s">
        <v>18</v>
      </c>
      <c r="D2" s="10"/>
      <c r="E2" s="10"/>
      <c r="F2" s="10"/>
      <c r="G2" s="10"/>
    </row>
    <row r="3" spans="1:7">
      <c r="A3" s="10" t="s">
        <v>1</v>
      </c>
      <c r="B3" s="11">
        <v>90</v>
      </c>
      <c r="C3" s="10" t="s">
        <v>19</v>
      </c>
      <c r="D3" s="12"/>
      <c r="E3" s="10"/>
      <c r="F3" s="10"/>
      <c r="G3" s="10"/>
    </row>
    <row r="4" spans="1:7">
      <c r="A4" s="10" t="s">
        <v>16</v>
      </c>
      <c r="B4" s="11">
        <v>0.5</v>
      </c>
      <c r="C4" s="10" t="s">
        <v>20</v>
      </c>
      <c r="D4" s="10"/>
      <c r="E4" s="10"/>
      <c r="F4" s="10"/>
      <c r="G4" s="10"/>
    </row>
    <row r="5" spans="1:7">
      <c r="A5" s="10" t="s">
        <v>21</v>
      </c>
      <c r="B5" s="13">
        <v>0.06</v>
      </c>
      <c r="C5" s="10" t="s">
        <v>22</v>
      </c>
      <c r="D5" s="10"/>
      <c r="E5" s="2"/>
      <c r="F5" s="10"/>
      <c r="G5" s="10"/>
    </row>
    <row r="6" spans="1:7">
      <c r="A6" s="10" t="s">
        <v>23</v>
      </c>
      <c r="B6" s="13">
        <v>0.02</v>
      </c>
      <c r="C6" s="10" t="s">
        <v>24</v>
      </c>
      <c r="D6" s="10"/>
      <c r="E6" s="10"/>
      <c r="F6" s="10"/>
      <c r="G6" s="10"/>
    </row>
    <row r="7" spans="1:7">
      <c r="A7" s="10" t="s">
        <v>25</v>
      </c>
      <c r="B7" s="10">
        <v>0.35</v>
      </c>
      <c r="C7" s="10" t="s">
        <v>26</v>
      </c>
      <c r="D7" s="10"/>
      <c r="E7" s="10"/>
      <c r="F7" s="10"/>
      <c r="G7" s="10"/>
    </row>
    <row r="8" spans="1:7">
      <c r="A8" s="10"/>
      <c r="B8" s="10"/>
      <c r="C8" s="10"/>
      <c r="D8" s="10"/>
      <c r="E8" s="10"/>
      <c r="F8" s="10"/>
      <c r="G8" s="10"/>
    </row>
    <row r="9" spans="1:7" ht="15.75">
      <c r="A9" s="10" t="s">
        <v>27</v>
      </c>
      <c r="B9" s="14">
        <f>(LN(B2/B3)+(B5-B6+0.5*B7^2)*B4)/(B7*SQRT(B4))</f>
        <v>0.63027666222016798</v>
      </c>
      <c r="C9" s="10"/>
      <c r="D9" s="10"/>
      <c r="E9" s="10"/>
      <c r="F9" s="10"/>
      <c r="G9" s="10"/>
    </row>
    <row r="10" spans="1:7" ht="15.75">
      <c r="A10" s="10" t="s">
        <v>28</v>
      </c>
      <c r="B10" s="14">
        <f>B9-SQRT(B4)*B7</f>
        <v>0.38278928880487634</v>
      </c>
      <c r="C10" s="10" t="s">
        <v>29</v>
      </c>
      <c r="D10" s="10"/>
      <c r="E10" s="10"/>
      <c r="F10" s="10"/>
      <c r="G10" s="10"/>
    </row>
    <row r="11" spans="1:7">
      <c r="A11" s="10"/>
      <c r="B11" s="15"/>
      <c r="C11" s="10"/>
      <c r="D11" s="10"/>
      <c r="E11" s="10"/>
      <c r="F11" s="10"/>
      <c r="G11" s="10"/>
    </row>
    <row r="12" spans="1:7" ht="15.75">
      <c r="A12" s="10" t="s">
        <v>30</v>
      </c>
      <c r="B12" s="15">
        <f>NORMSDIST(B9)</f>
        <v>0.73574320533192461</v>
      </c>
      <c r="C12" s="10" t="s">
        <v>31</v>
      </c>
      <c r="D12" s="10"/>
      <c r="E12" s="16"/>
      <c r="F12" s="10"/>
      <c r="G12" s="10"/>
    </row>
    <row r="13" spans="1:7" ht="15.75">
      <c r="A13" s="10" t="s">
        <v>32</v>
      </c>
      <c r="B13" s="15">
        <f>NORMSDIST(B10)</f>
        <v>0.64906199798822706</v>
      </c>
      <c r="C13" s="10" t="s">
        <v>33</v>
      </c>
      <c r="D13" s="10"/>
      <c r="E13" s="10"/>
      <c r="F13" s="10"/>
      <c r="G13" s="10"/>
    </row>
    <row r="14" spans="1:7">
      <c r="A14" s="10"/>
      <c r="B14" s="15"/>
      <c r="C14" s="10"/>
      <c r="D14" s="10"/>
      <c r="E14" s="10"/>
      <c r="F14" s="10"/>
      <c r="G14" s="10"/>
    </row>
    <row r="15" spans="1:7">
      <c r="A15" s="10" t="s">
        <v>34</v>
      </c>
      <c r="B15" s="15">
        <f>B2*EXP(-B6*B4)*B12-B3*EXP(-B5*B4)*B13</f>
        <v>16.15310528715807</v>
      </c>
      <c r="C15" s="10"/>
      <c r="D15" s="10"/>
      <c r="E15" s="10"/>
      <c r="F15" s="10"/>
      <c r="G15" s="10"/>
    </row>
    <row r="16" spans="1:7">
      <c r="A16" s="10" t="s">
        <v>35</v>
      </c>
      <c r="B16" s="14">
        <f>B3*EXP(-B5*B4)*NORMSDIST(-B10)-B2*EXP(-B6*B4)*NORMSDIST(-B9)</f>
        <v>4.4882199316070128</v>
      </c>
      <c r="C16" s="10"/>
      <c r="D16" s="10"/>
      <c r="E16" s="10"/>
      <c r="F16" s="10"/>
      <c r="G16" s="10"/>
    </row>
    <row r="18" spans="1:7" ht="15.75">
      <c r="A18" s="17" t="s">
        <v>36</v>
      </c>
    </row>
    <row r="19" spans="1:7">
      <c r="B19" s="18" t="s">
        <v>12</v>
      </c>
      <c r="C19" s="18"/>
      <c r="D19" s="19" t="s">
        <v>13</v>
      </c>
    </row>
    <row r="20" spans="1:7">
      <c r="A20" t="s">
        <v>37</v>
      </c>
      <c r="B20" s="20">
        <f>EXP(-B6*B4)*NORMSDIST(B9)</f>
        <v>0.72842243812095198</v>
      </c>
      <c r="D20" s="20">
        <f>-EXP(-B6*B4)*NORMSDIST(-B9)</f>
        <v>-0.26162739562821608</v>
      </c>
    </row>
    <row r="21" spans="1:7">
      <c r="A21" t="s">
        <v>38</v>
      </c>
      <c r="B21" s="20">
        <f>EXP(B9^2/2-B6*B4)/(B2*B7*SQRT(2*B4*PI()))</f>
        <v>1.9465946586019824E-2</v>
      </c>
      <c r="D21" s="20">
        <f>EXP((B9^2)/2-B6*B4)/(B2*B7*SQRT(2*B4*PI()))</f>
        <v>1.9465946586019824E-2</v>
      </c>
    </row>
    <row r="22" spans="1:7" s="21" customFormat="1">
      <c r="A22" s="21" t="s">
        <v>39</v>
      </c>
      <c r="B22" s="22">
        <f>B2*SQRT(B4)*EXP(-(B9^2)/2)*EXP(-B6*B4)/SQRT(2*PI())</f>
        <v>22.897637219146517</v>
      </c>
      <c r="D22" s="22">
        <f>B2*EXP(-(B9^2)/2-B6*B4)*SQRT(B4)/SQRT(2*PI())</f>
        <v>22.897637219146517</v>
      </c>
    </row>
    <row r="23" spans="1:7">
      <c r="A23" t="s">
        <v>40</v>
      </c>
      <c r="B23" s="20">
        <f>-B2*EXP(-(B9^2)/2-B6*B4)*B7/SQRT(8*B4*PI())+B6*B2*EXP(-B6*B4)*B12-B5*B3*EXP(-B5*B4)*B13</f>
        <v>-9.9586764619556032</v>
      </c>
      <c r="C23" s="23"/>
      <c r="D23" s="20">
        <f>-B2*EXP(-(B9^2)/2-B6*B4)*B7/SQRT(8*B4*PI())-B6*B2*EXP(-B6*B4)*(1-B12)+B5*B3*EXP(-B5*B4)*(1-B13)</f>
        <v>-6.6983702482919965</v>
      </c>
      <c r="E23" s="23"/>
    </row>
    <row r="24" spans="1:7">
      <c r="A24" t="s">
        <v>41</v>
      </c>
      <c r="B24" s="20">
        <f>B3*B4*EXP(-B5*B4)*NORMSDIST(B10)</f>
        <v>28.344569262468561</v>
      </c>
      <c r="D24" s="20">
        <f>-B3*B4*EXP(-B5*B4)*NORMSDIST(-B10)</f>
        <v>-15.32547974721431</v>
      </c>
    </row>
    <row r="27" spans="1:7">
      <c r="A27" s="24" t="s">
        <v>43</v>
      </c>
      <c r="B27" s="25"/>
      <c r="F27" t="str">
        <f>+B19</f>
        <v>Call</v>
      </c>
      <c r="G27" s="1" t="str">
        <f>+D19</f>
        <v>Put</v>
      </c>
    </row>
    <row r="28" spans="1:7">
      <c r="A28" s="26"/>
      <c r="B28" s="27">
        <f>B2*B7*SQRT(2*B4*PI())</f>
        <v>62.035884781693056</v>
      </c>
      <c r="F28" s="30">
        <f>+B20</f>
        <v>0.72842243812095198</v>
      </c>
      <c r="G28" s="30">
        <f>+D20</f>
        <v>-0.26162739562821608</v>
      </c>
    </row>
    <row r="29" spans="1:7">
      <c r="A29" s="26"/>
      <c r="B29" s="27"/>
      <c r="E29">
        <v>10</v>
      </c>
      <c r="F29">
        <f t="dataTable" ref="F29:G48" dt2D="0" dtr="0" r1="B2"/>
        <v>2.0730246619892913E-18</v>
      </c>
      <c r="G29">
        <v>-0.99004983374916811</v>
      </c>
    </row>
    <row r="30" spans="1:7">
      <c r="A30" s="26" t="s">
        <v>42</v>
      </c>
      <c r="B30" s="27"/>
      <c r="E30">
        <v>20</v>
      </c>
      <c r="F30">
        <v>2.1207163935355109E-9</v>
      </c>
      <c r="G30">
        <v>-0.99004983162845162</v>
      </c>
    </row>
    <row r="31" spans="1:7">
      <c r="A31" s="26"/>
      <c r="B31" s="27">
        <f>EXP(B9^2/2-B6*B4)</f>
        <v>1.2075872195769171</v>
      </c>
      <c r="E31">
        <v>30</v>
      </c>
      <c r="F31">
        <v>1.1338670664260759E-5</v>
      </c>
      <c r="G31">
        <v>-0.99003849507850383</v>
      </c>
    </row>
    <row r="32" spans="1:7">
      <c r="A32" s="26"/>
      <c r="B32" s="27"/>
      <c r="E32">
        <v>40</v>
      </c>
      <c r="F32">
        <v>1.0522281454829815E-3</v>
      </c>
      <c r="G32">
        <v>-0.9889976056036851</v>
      </c>
    </row>
    <row r="33" spans="1:7">
      <c r="A33" s="28" t="s">
        <v>38</v>
      </c>
      <c r="B33" s="29">
        <f>B31/B28</f>
        <v>1.9465946586019824E-2</v>
      </c>
      <c r="E33">
        <v>50</v>
      </c>
      <c r="F33">
        <v>1.4836861219953505E-2</v>
      </c>
      <c r="G33">
        <v>-0.97521297252921457</v>
      </c>
    </row>
    <row r="34" spans="1:7">
      <c r="E34">
        <v>60</v>
      </c>
      <c r="F34">
        <v>7.5064465096004937E-2</v>
      </c>
      <c r="G34">
        <v>-0.91498536865316316</v>
      </c>
    </row>
    <row r="35" spans="1:7">
      <c r="E35">
        <v>70</v>
      </c>
      <c r="F35">
        <v>0.2066326331659572</v>
      </c>
      <c r="G35">
        <v>-0.78341720058321096</v>
      </c>
    </row>
    <row r="36" spans="1:7">
      <c r="E36">
        <v>80</v>
      </c>
      <c r="F36">
        <v>0.38914631073831168</v>
      </c>
      <c r="G36">
        <v>-0.60090352301085648</v>
      </c>
    </row>
    <row r="37" spans="1:7">
      <c r="E37">
        <v>90</v>
      </c>
      <c r="F37">
        <v>0.5752589905073302</v>
      </c>
      <c r="G37">
        <v>-0.41479084324183785</v>
      </c>
    </row>
    <row r="38" spans="1:7">
      <c r="E38">
        <v>100</v>
      </c>
      <c r="F38">
        <v>0.72842243812095198</v>
      </c>
      <c r="G38">
        <v>-0.26162739562821608</v>
      </c>
    </row>
    <row r="39" spans="1:7">
      <c r="E39">
        <v>110</v>
      </c>
      <c r="F39">
        <v>0.83663124754370111</v>
      </c>
      <c r="G39">
        <v>-0.15341858620546706</v>
      </c>
    </row>
    <row r="40" spans="1:7">
      <c r="E40">
        <v>120</v>
      </c>
      <c r="F40">
        <v>0.90508591072898692</v>
      </c>
      <c r="G40">
        <v>-8.4963923020181201E-2</v>
      </c>
    </row>
    <row r="41" spans="1:7">
      <c r="E41">
        <v>130</v>
      </c>
      <c r="F41">
        <v>0.94502549749001441</v>
      </c>
      <c r="G41">
        <v>-4.5024336259153662E-2</v>
      </c>
    </row>
    <row r="42" spans="1:7">
      <c r="E42">
        <v>140</v>
      </c>
      <c r="F42">
        <v>0.96697687739003735</v>
      </c>
      <c r="G42">
        <v>-2.3072956359130762E-2</v>
      </c>
    </row>
    <row r="43" spans="1:7">
      <c r="E43">
        <v>150</v>
      </c>
      <c r="F43">
        <v>0.97851947942080097</v>
      </c>
      <c r="G43">
        <v>-1.1530354328367139E-2</v>
      </c>
    </row>
    <row r="44" spans="1:7">
      <c r="E44">
        <v>160</v>
      </c>
      <c r="F44">
        <v>0.98439343870120377</v>
      </c>
      <c r="G44">
        <v>-5.6563950479643363E-3</v>
      </c>
    </row>
    <row r="45" spans="1:7">
      <c r="E45">
        <v>170</v>
      </c>
      <c r="F45">
        <v>0.98731164907318214</v>
      </c>
      <c r="G45">
        <v>-2.7381846759859693E-3</v>
      </c>
    </row>
    <row r="46" spans="1:7">
      <c r="E46">
        <v>180</v>
      </c>
      <c r="F46">
        <v>0.98873641018067449</v>
      </c>
      <c r="G46">
        <v>-1.3134235684936471E-3</v>
      </c>
    </row>
    <row r="47" spans="1:7">
      <c r="E47">
        <v>190</v>
      </c>
      <c r="F47">
        <v>0.98942352690320645</v>
      </c>
      <c r="G47">
        <v>-6.2630684596169271E-4</v>
      </c>
    </row>
    <row r="48" spans="1:7">
      <c r="E48">
        <v>200</v>
      </c>
      <c r="F48">
        <v>0.98975216086679418</v>
      </c>
      <c r="G48">
        <v>-2.9767288237393793E-4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</vt:lpstr>
      <vt:lpstr>B</vt:lpstr>
      <vt:lpstr>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2010-03-24T03:19:20Z</dcterms:created>
  <dcterms:modified xsi:type="dcterms:W3CDTF">2010-03-29T03:21:25Z</dcterms:modified>
</cp:coreProperties>
</file>